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8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drawings/drawing9.xml" ContentType="application/vnd.openxmlformats-officedocument.drawing+xml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drawings/drawing10.xml" ContentType="application/vnd.openxmlformats-officedocument.drawing+xml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drawings/drawing11.xml" ContentType="application/vnd.openxmlformats-officedocument.drawing+xml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drawings/drawing12.xml" ContentType="application/vnd.openxmlformats-officedocument.drawing+xml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drawings/drawing13.xml" ContentType="application/vnd.openxmlformats-officedocument.drawing+xml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240" yWindow="135" windowWidth="20115" windowHeight="7935" tabRatio="996" firstSheet="6" activeTab="7"/>
  </bookViews>
  <sheets>
    <sheet name="Data Record (pitch)" sheetId="1" r:id="rId1"/>
    <sheet name="Data Record (minor)" sheetId="15" r:id="rId2"/>
    <sheet name="Certificate" sheetId="4" r:id="rId3"/>
    <sheet name="Report" sheetId="5" r:id="rId4"/>
    <sheet name="Result (pitch)" sheetId="6" r:id="rId5"/>
    <sheet name="Result (minor)" sheetId="14" r:id="rId6"/>
    <sheet name="Uncertainty Budget(P0.8)" sheetId="7" r:id="rId7"/>
    <sheet name="Uncertainty Budget(Minor)" sheetId="16" r:id="rId8"/>
    <sheet name="Uncertainty Budget(P1.5)" sheetId="8" r:id="rId9"/>
    <sheet name="Uncertainty Budget(P2.5)" sheetId="9" r:id="rId10"/>
    <sheet name="Uncertainty Budget(P4.5)" sheetId="10" r:id="rId11"/>
    <sheet name="Uncertainty Budget(P6)" sheetId="11" r:id="rId12"/>
    <sheet name="Uncertainty Budget(P8)" sheetId="12" r:id="rId13"/>
    <sheet name="Uncertainty Budget(P8)2" sheetId="13" r:id="rId14"/>
    <sheet name="Uncertainty Budget(Cal)" sheetId="2" r:id="rId15"/>
    <sheet name="Cert of STD" sheetId="3" r:id="rId16"/>
  </sheets>
  <externalReferences>
    <externalReference r:id="rId17"/>
    <externalReference r:id="rId18"/>
    <externalReference r:id="rId19"/>
    <externalReference r:id="rId20"/>
  </externalReferences>
  <definedNames>
    <definedName name="_xlnm.Print_Area" localSheetId="2">Certificate!$A$1:$U$42</definedName>
    <definedName name="_xlnm.Print_Area" localSheetId="1">'Data Record (minor)'!$A$1:$AD$30</definedName>
    <definedName name="_xlnm.Print_Area" localSheetId="0">'Data Record (pitch)'!$A$1:$AD$47</definedName>
    <definedName name="_xlnm.Print_Area" localSheetId="3">Report!$A$1:$V$41</definedName>
    <definedName name="_xlnm.Print_Area" localSheetId="5">'Result (minor)'!$A$1:$V$22</definedName>
    <definedName name="_xlnm.Print_Area" localSheetId="4">'Result (pitch)'!$A$1:$V$32</definedName>
    <definedName name="_xlnm.Print_Area" localSheetId="14">'Uncertainty Budget(Cal)'!$A$1:$AL$41</definedName>
    <definedName name="_xlnm.Print_Area" localSheetId="6">'Uncertainty Budget(P0.8)'!$A$1:$AL$39</definedName>
    <definedName name="_xlnm.Print_Area" localSheetId="8">'Uncertainty Budget(P1.5)'!$A$1:$AL$39</definedName>
    <definedName name="_xlnm.Print_Area" localSheetId="9">'Uncertainty Budget(P2.5)'!$A$1:$AL$39</definedName>
    <definedName name="_xlnm.Print_Area" localSheetId="10">'Uncertainty Budget(P4.5)'!$A$1:$AL$39</definedName>
    <definedName name="_xlnm.Print_Area" localSheetId="11">'Uncertainty Budget(P6)'!$A$1:$AL$39</definedName>
    <definedName name="_xlnm.Print_Area" localSheetId="12">'Uncertainty Budget(P8)'!$A$1:$AL$39</definedName>
    <definedName name="_xlnm.Print_Area" localSheetId="13">'Uncertainty Budget(P8)2'!$A$1:$AL$44</definedName>
  </definedNames>
  <calcPr calcId="162913"/>
</workbook>
</file>

<file path=xl/calcChain.xml><?xml version="1.0" encoding="utf-8"?>
<calcChain xmlns="http://schemas.openxmlformats.org/spreadsheetml/2006/main">
  <c r="L25" i="16" l="1"/>
  <c r="O25" i="16" s="1"/>
  <c r="L7" i="16" s="1"/>
  <c r="H20" i="16"/>
  <c r="I20" i="16" s="1"/>
  <c r="F20" i="16"/>
  <c r="G20" i="16" s="1"/>
  <c r="D20" i="16"/>
  <c r="E20" i="16" s="1"/>
  <c r="B20" i="16"/>
  <c r="N20" i="16" s="1"/>
  <c r="O20" i="16" s="1"/>
  <c r="H19" i="16"/>
  <c r="I19" i="16" s="1"/>
  <c r="F19" i="16"/>
  <c r="G19" i="16" s="1"/>
  <c r="D19" i="16"/>
  <c r="E19" i="16" s="1"/>
  <c r="B19" i="16"/>
  <c r="N19" i="16" s="1"/>
  <c r="O19" i="16" s="1"/>
  <c r="H18" i="16"/>
  <c r="I18" i="16" s="1"/>
  <c r="G18" i="16"/>
  <c r="D18" i="16"/>
  <c r="E18" i="16" s="1"/>
  <c r="B18" i="16"/>
  <c r="N18" i="16" s="1"/>
  <c r="O18" i="16" s="1"/>
  <c r="H17" i="16"/>
  <c r="I17" i="16" s="1"/>
  <c r="G17" i="16"/>
  <c r="D17" i="16"/>
  <c r="E17" i="16" s="1"/>
  <c r="Q17" i="16" s="1"/>
  <c r="B17" i="16"/>
  <c r="N17" i="16" s="1"/>
  <c r="O17" i="16" s="1"/>
  <c r="H16" i="16"/>
  <c r="I16" i="16" s="1"/>
  <c r="G16" i="16"/>
  <c r="D16" i="16"/>
  <c r="E16" i="16" s="1"/>
  <c r="B16" i="16"/>
  <c r="N16" i="16" s="1"/>
  <c r="O16" i="16" s="1"/>
  <c r="H15" i="16"/>
  <c r="I15" i="16" s="1"/>
  <c r="G15" i="16"/>
  <c r="D15" i="16"/>
  <c r="E15" i="16" s="1"/>
  <c r="Q15" i="16" s="1"/>
  <c r="B15" i="16"/>
  <c r="N15" i="16" s="1"/>
  <c r="O15" i="16" s="1"/>
  <c r="H14" i="16"/>
  <c r="I14" i="16" s="1"/>
  <c r="G14" i="16"/>
  <c r="D14" i="16"/>
  <c r="E14" i="16" s="1"/>
  <c r="B14" i="16"/>
  <c r="N14" i="16" s="1"/>
  <c r="O14" i="16" s="1"/>
  <c r="H13" i="16"/>
  <c r="I13" i="16" s="1"/>
  <c r="G13" i="16"/>
  <c r="D13" i="16"/>
  <c r="E13" i="16" s="1"/>
  <c r="Q13" i="16" s="1"/>
  <c r="B13" i="16"/>
  <c r="N13" i="16" s="1"/>
  <c r="O13" i="16" s="1"/>
  <c r="H12" i="16"/>
  <c r="I12" i="16" s="1"/>
  <c r="G12" i="16"/>
  <c r="D12" i="16"/>
  <c r="E12" i="16" s="1"/>
  <c r="B12" i="16"/>
  <c r="N12" i="16" s="1"/>
  <c r="O12" i="16" s="1"/>
  <c r="H11" i="16"/>
  <c r="I11" i="16" s="1"/>
  <c r="G11" i="16"/>
  <c r="D11" i="16"/>
  <c r="E11" i="16" s="1"/>
  <c r="Q11" i="16" s="1"/>
  <c r="B11" i="16"/>
  <c r="N11" i="16" s="1"/>
  <c r="O11" i="16" s="1"/>
  <c r="H10" i="16"/>
  <c r="I10" i="16" s="1"/>
  <c r="G10" i="16"/>
  <c r="D10" i="16"/>
  <c r="E10" i="16" s="1"/>
  <c r="B10" i="16"/>
  <c r="N10" i="16" s="1"/>
  <c r="O10" i="16" s="1"/>
  <c r="H9" i="16"/>
  <c r="I9" i="16" s="1"/>
  <c r="G9" i="16"/>
  <c r="D9" i="16"/>
  <c r="E9" i="16" s="1"/>
  <c r="B9" i="16"/>
  <c r="N9" i="16" s="1"/>
  <c r="O9" i="16" s="1"/>
  <c r="H8" i="16"/>
  <c r="I8" i="16" s="1"/>
  <c r="G8" i="16"/>
  <c r="D8" i="16"/>
  <c r="E8" i="16" s="1"/>
  <c r="Q8" i="16" s="1"/>
  <c r="B8" i="16"/>
  <c r="N8" i="16" s="1"/>
  <c r="O8" i="16" s="1"/>
  <c r="K7" i="16"/>
  <c r="J7" i="16"/>
  <c r="J8" i="16" s="1"/>
  <c r="J9" i="16" s="1"/>
  <c r="H7" i="16"/>
  <c r="I7" i="16" s="1"/>
  <c r="G7" i="16"/>
  <c r="D7" i="16"/>
  <c r="E7" i="16" s="1"/>
  <c r="B7" i="16"/>
  <c r="N7" i="16" s="1"/>
  <c r="O7" i="16" s="1"/>
  <c r="P15" i="14"/>
  <c r="W16" i="15"/>
  <c r="P12" i="14" s="1"/>
  <c r="M17" i="14"/>
  <c r="J15" i="14"/>
  <c r="Q30" i="15"/>
  <c r="Q29" i="15"/>
  <c r="M16" i="14" s="1"/>
  <c r="Q28" i="15"/>
  <c r="M15" i="14" s="1"/>
  <c r="Q27" i="15"/>
  <c r="J17" i="14" s="1"/>
  <c r="Q26" i="15"/>
  <c r="J16" i="14" s="1"/>
  <c r="T25" i="15"/>
  <c r="Q25" i="15"/>
  <c r="M13" i="14"/>
  <c r="Q21" i="15"/>
  <c r="M14" i="14" s="1"/>
  <c r="Q20" i="15"/>
  <c r="Q19" i="15"/>
  <c r="M12" i="14" s="1"/>
  <c r="Q18" i="15"/>
  <c r="J14" i="14" s="1"/>
  <c r="Q17" i="15"/>
  <c r="J13" i="14" s="1"/>
  <c r="Q16" i="15"/>
  <c r="J12" i="14" s="1"/>
  <c r="T16" i="15"/>
  <c r="A20" i="6"/>
  <c r="A19" i="6"/>
  <c r="U20" i="6"/>
  <c r="S20" i="6"/>
  <c r="Q20" i="6"/>
  <c r="N20" i="6"/>
  <c r="L20" i="6"/>
  <c r="J20" i="6"/>
  <c r="H20" i="6"/>
  <c r="E20" i="6"/>
  <c r="U19" i="6"/>
  <c r="S19" i="6"/>
  <c r="Q19" i="6"/>
  <c r="N19" i="6"/>
  <c r="L19" i="6"/>
  <c r="J19" i="6"/>
  <c r="H19" i="6"/>
  <c r="E19" i="6"/>
  <c r="B15" i="14"/>
  <c r="B12" i="14"/>
  <c r="G5" i="14"/>
  <c r="B29" i="6"/>
  <c r="B26" i="6"/>
  <c r="T36" i="1"/>
  <c r="Q41" i="1"/>
  <c r="Q40" i="1"/>
  <c r="Q39" i="1"/>
  <c r="Q38" i="1"/>
  <c r="Q37" i="1"/>
  <c r="Q36" i="1"/>
  <c r="H5" i="5"/>
  <c r="Q7" i="16" l="1"/>
  <c r="L8" i="16"/>
  <c r="M7" i="16"/>
  <c r="P7" i="16" s="1"/>
  <c r="Q12" i="16"/>
  <c r="Q14" i="16"/>
  <c r="J10" i="16"/>
  <c r="K9" i="16"/>
  <c r="K8" i="16"/>
  <c r="Q9" i="16"/>
  <c r="Q10" i="16"/>
  <c r="Q16" i="16"/>
  <c r="Q18" i="16"/>
  <c r="Q19" i="16"/>
  <c r="Q20" i="16"/>
  <c r="R7" i="16" l="1"/>
  <c r="S7" i="16" s="1"/>
  <c r="T7" i="16" s="1"/>
  <c r="J11" i="16"/>
  <c r="K10" i="16"/>
  <c r="L9" i="16"/>
  <c r="M8" i="16"/>
  <c r="P8" i="16" s="1"/>
  <c r="G5" i="6"/>
  <c r="T22" i="1"/>
  <c r="R8" i="16" l="1"/>
  <c r="S8" i="16" s="1"/>
  <c r="T8" i="16" s="1"/>
  <c r="L10" i="16"/>
  <c r="M9" i="16"/>
  <c r="P9" i="16" s="1"/>
  <c r="J12" i="16"/>
  <c r="K11" i="16"/>
  <c r="S15" i="14" l="1"/>
  <c r="S12" i="14"/>
  <c r="J13" i="16"/>
  <c r="K12" i="16"/>
  <c r="L11" i="16"/>
  <c r="M10" i="16"/>
  <c r="P10" i="16" s="1"/>
  <c r="R9" i="16"/>
  <c r="S9" i="16" s="1"/>
  <c r="T9" i="16" s="1"/>
  <c r="L12" i="16" l="1"/>
  <c r="M11" i="16"/>
  <c r="P11" i="16" s="1"/>
  <c r="J14" i="16"/>
  <c r="K13" i="16"/>
  <c r="R10" i="16"/>
  <c r="S10" i="16" s="1"/>
  <c r="T10" i="16" s="1"/>
  <c r="J15" i="16" l="1"/>
  <c r="K14" i="16"/>
  <c r="L13" i="16"/>
  <c r="M12" i="16"/>
  <c r="P12" i="16" s="1"/>
  <c r="R11" i="16"/>
  <c r="S11" i="16" s="1"/>
  <c r="T11" i="16" s="1"/>
  <c r="L14" i="16" l="1"/>
  <c r="M13" i="16"/>
  <c r="P13" i="16" s="1"/>
  <c r="J16" i="16"/>
  <c r="K15" i="16"/>
  <c r="R12" i="16"/>
  <c r="S12" i="16" s="1"/>
  <c r="T12" i="16" s="1"/>
  <c r="R13" i="16" l="1"/>
  <c r="S13" i="16" s="1"/>
  <c r="T13" i="16" s="1"/>
  <c r="J17" i="16"/>
  <c r="K16" i="16"/>
  <c r="L15" i="16"/>
  <c r="M14" i="16"/>
  <c r="P14" i="16" s="1"/>
  <c r="R14" i="16" l="1"/>
  <c r="S14" i="16" s="1"/>
  <c r="T14" i="16" s="1"/>
  <c r="L16" i="16"/>
  <c r="M15" i="16"/>
  <c r="P15" i="16" s="1"/>
  <c r="J18" i="16"/>
  <c r="K17" i="16"/>
  <c r="J19" i="16" l="1"/>
  <c r="K18" i="16"/>
  <c r="L17" i="16"/>
  <c r="M16" i="16"/>
  <c r="P16" i="16" s="1"/>
  <c r="R15" i="16"/>
  <c r="S15" i="16" s="1"/>
  <c r="T15" i="16" s="1"/>
  <c r="R16" i="16" l="1"/>
  <c r="S16" i="16" s="1"/>
  <c r="T16" i="16" s="1"/>
  <c r="L18" i="16"/>
  <c r="M17" i="16"/>
  <c r="P17" i="16" s="1"/>
  <c r="J20" i="16"/>
  <c r="K20" i="16" s="1"/>
  <c r="K19" i="16"/>
  <c r="L19" i="16" l="1"/>
  <c r="M18" i="16"/>
  <c r="P18" i="16" s="1"/>
  <c r="R17" i="16"/>
  <c r="S17" i="16" s="1"/>
  <c r="T17" i="16" s="1"/>
  <c r="L20" i="16" l="1"/>
  <c r="M20" i="16" s="1"/>
  <c r="P20" i="16" s="1"/>
  <c r="M19" i="16"/>
  <c r="P19" i="16" s="1"/>
  <c r="R18" i="16"/>
  <c r="S18" i="16" s="1"/>
  <c r="T18" i="16" s="1"/>
  <c r="R19" i="16" l="1"/>
  <c r="S19" i="16" s="1"/>
  <c r="T19" i="16" s="1"/>
  <c r="R20" i="16"/>
  <c r="S20" i="16" s="1"/>
  <c r="T20" i="16" s="1"/>
  <c r="AF39" i="13" l="1"/>
  <c r="AG39" i="13" s="1"/>
  <c r="AA39" i="13"/>
  <c r="V39" i="13"/>
  <c r="W39" i="13" s="1"/>
  <c r="T39" i="13"/>
  <c r="U39" i="13" s="1"/>
  <c r="R39" i="13"/>
  <c r="S39" i="13" s="1"/>
  <c r="D39" i="13"/>
  <c r="AF38" i="13"/>
  <c r="AG38" i="13" s="1"/>
  <c r="AA38" i="13"/>
  <c r="V38" i="13"/>
  <c r="W38" i="13" s="1"/>
  <c r="T38" i="13"/>
  <c r="U38" i="13" s="1"/>
  <c r="R38" i="13"/>
  <c r="S38" i="13" s="1"/>
  <c r="D38" i="13"/>
  <c r="AI38" i="13" s="1"/>
  <c r="AF37" i="13"/>
  <c r="AG37" i="13" s="1"/>
  <c r="AA37" i="13"/>
  <c r="W37" i="13"/>
  <c r="V37" i="13"/>
  <c r="U37" i="13"/>
  <c r="T37" i="13"/>
  <c r="R37" i="13"/>
  <c r="S37" i="13" s="1"/>
  <c r="D37" i="13"/>
  <c r="AF36" i="13"/>
  <c r="AG36" i="13" s="1"/>
  <c r="AA36" i="13"/>
  <c r="V36" i="13"/>
  <c r="W36" i="13" s="1"/>
  <c r="T36" i="13"/>
  <c r="U36" i="13" s="1"/>
  <c r="R36" i="13"/>
  <c r="S36" i="13" s="1"/>
  <c r="D36" i="13"/>
  <c r="AI36" i="13" s="1"/>
  <c r="AF35" i="13"/>
  <c r="AG35" i="13" s="1"/>
  <c r="AA35" i="13"/>
  <c r="V35" i="13"/>
  <c r="W35" i="13" s="1"/>
  <c r="T35" i="13"/>
  <c r="U35" i="13" s="1"/>
  <c r="R35" i="13"/>
  <c r="S35" i="13" s="1"/>
  <c r="D35" i="13"/>
  <c r="AF34" i="13"/>
  <c r="AG34" i="13" s="1"/>
  <c r="AA34" i="13"/>
  <c r="V34" i="13"/>
  <c r="W34" i="13" s="1"/>
  <c r="T34" i="13"/>
  <c r="U34" i="13" s="1"/>
  <c r="R34" i="13"/>
  <c r="S34" i="13" s="1"/>
  <c r="D34" i="13"/>
  <c r="AI34" i="13" s="1"/>
  <c r="AF33" i="13"/>
  <c r="AG33" i="13" s="1"/>
  <c r="AA33" i="13"/>
  <c r="V33" i="13"/>
  <c r="W33" i="13" s="1"/>
  <c r="T33" i="13"/>
  <c r="U33" i="13" s="1"/>
  <c r="R33" i="13"/>
  <c r="S33" i="13" s="1"/>
  <c r="D33" i="13"/>
  <c r="AF32" i="13"/>
  <c r="AG32" i="13" s="1"/>
  <c r="AA32" i="13"/>
  <c r="V32" i="13"/>
  <c r="W32" i="13" s="1"/>
  <c r="T32" i="13"/>
  <c r="U32" i="13" s="1"/>
  <c r="R32" i="13"/>
  <c r="S32" i="13" s="1"/>
  <c r="D32" i="13"/>
  <c r="AI32" i="13" s="1"/>
  <c r="AF31" i="13"/>
  <c r="AG31" i="13" s="1"/>
  <c r="AA31" i="13"/>
  <c r="V31" i="13"/>
  <c r="W31" i="13" s="1"/>
  <c r="T31" i="13"/>
  <c r="U31" i="13" s="1"/>
  <c r="R31" i="13"/>
  <c r="S31" i="13" s="1"/>
  <c r="D31" i="13"/>
  <c r="AI31" i="13" s="1"/>
  <c r="AF30" i="13"/>
  <c r="AG30" i="13" s="1"/>
  <c r="AA30" i="13"/>
  <c r="V30" i="13"/>
  <c r="W30" i="13" s="1"/>
  <c r="T30" i="13"/>
  <c r="U30" i="13" s="1"/>
  <c r="R30" i="13"/>
  <c r="S30" i="13" s="1"/>
  <c r="D30" i="13"/>
  <c r="AF29" i="13"/>
  <c r="AG29" i="13" s="1"/>
  <c r="AA29" i="13"/>
  <c r="V29" i="13"/>
  <c r="W29" i="13" s="1"/>
  <c r="T29" i="13"/>
  <c r="U29" i="13" s="1"/>
  <c r="R29" i="13"/>
  <c r="S29" i="13" s="1"/>
  <c r="D29" i="13"/>
  <c r="AF28" i="13"/>
  <c r="AG28" i="13" s="1"/>
  <c r="AA28" i="13"/>
  <c r="V28" i="13"/>
  <c r="W28" i="13" s="1"/>
  <c r="T28" i="13"/>
  <c r="U28" i="13" s="1"/>
  <c r="R28" i="13"/>
  <c r="S28" i="13" s="1"/>
  <c r="D28" i="13"/>
  <c r="AI28" i="13" s="1"/>
  <c r="AF27" i="13"/>
  <c r="AG27" i="13" s="1"/>
  <c r="AA27" i="13"/>
  <c r="V27" i="13"/>
  <c r="W27" i="13" s="1"/>
  <c r="T27" i="13"/>
  <c r="U27" i="13" s="1"/>
  <c r="R27" i="13"/>
  <c r="S27" i="13" s="1"/>
  <c r="D27" i="13"/>
  <c r="AF26" i="13"/>
  <c r="AG26" i="13" s="1"/>
  <c r="AA26" i="13"/>
  <c r="V26" i="13"/>
  <c r="W26" i="13" s="1"/>
  <c r="T26" i="13"/>
  <c r="U26" i="13" s="1"/>
  <c r="R26" i="13"/>
  <c r="S26" i="13" s="1"/>
  <c r="P26" i="13"/>
  <c r="P27" i="13" s="1"/>
  <c r="D26" i="13"/>
  <c r="AI26" i="13" s="1"/>
  <c r="AF25" i="13"/>
  <c r="AG25" i="13" s="1"/>
  <c r="AA25" i="13"/>
  <c r="X25" i="13"/>
  <c r="X26" i="13" s="1"/>
  <c r="V25" i="13"/>
  <c r="W25" i="13" s="1"/>
  <c r="T25" i="13"/>
  <c r="U25" i="13" s="1"/>
  <c r="R25" i="13"/>
  <c r="S25" i="13" s="1"/>
  <c r="P25" i="13"/>
  <c r="Q25" i="13" s="1"/>
  <c r="D25" i="13"/>
  <c r="AI25" i="13" s="1"/>
  <c r="AF24" i="13"/>
  <c r="AG24" i="13" s="1"/>
  <c r="AD24" i="13"/>
  <c r="AD25" i="13" s="1"/>
  <c r="AB24" i="13"/>
  <c r="AB25" i="13" s="1"/>
  <c r="AA24" i="13"/>
  <c r="Y24" i="13"/>
  <c r="X24" i="13"/>
  <c r="V24" i="13"/>
  <c r="W24" i="13" s="1"/>
  <c r="T24" i="13"/>
  <c r="U24" i="13" s="1"/>
  <c r="R24" i="13"/>
  <c r="S24" i="13" s="1"/>
  <c r="P24" i="13"/>
  <c r="Q24" i="13" s="1"/>
  <c r="D24" i="13"/>
  <c r="AI24" i="13" s="1"/>
  <c r="T21" i="13"/>
  <c r="F21" i="13"/>
  <c r="M21" i="13" s="1"/>
  <c r="M20" i="13"/>
  <c r="S18" i="13"/>
  <c r="V18" i="13" s="1"/>
  <c r="F17" i="13" s="1"/>
  <c r="M17" i="13" s="1"/>
  <c r="M18" i="13"/>
  <c r="F16" i="13"/>
  <c r="M16" i="13" s="1"/>
  <c r="F15" i="13"/>
  <c r="M15" i="13" s="1"/>
  <c r="F14" i="13"/>
  <c r="M14" i="13" s="1"/>
  <c r="I9" i="13"/>
  <c r="I7" i="13" s="1"/>
  <c r="AF39" i="12"/>
  <c r="AG39" i="12" s="1"/>
  <c r="AA39" i="12"/>
  <c r="V39" i="12"/>
  <c r="W39" i="12" s="1"/>
  <c r="T39" i="12"/>
  <c r="U39" i="12" s="1"/>
  <c r="R39" i="12"/>
  <c r="S39" i="12" s="1"/>
  <c r="D39" i="12"/>
  <c r="AI39" i="12" s="1"/>
  <c r="AF38" i="12"/>
  <c r="AG38" i="12" s="1"/>
  <c r="AA38" i="12"/>
  <c r="V38" i="12"/>
  <c r="W38" i="12" s="1"/>
  <c r="T38" i="12"/>
  <c r="U38" i="12" s="1"/>
  <c r="R38" i="12"/>
  <c r="S38" i="12" s="1"/>
  <c r="D38" i="12"/>
  <c r="AI38" i="12" s="1"/>
  <c r="AF37" i="12"/>
  <c r="AG37" i="12" s="1"/>
  <c r="AA37" i="12"/>
  <c r="V37" i="12"/>
  <c r="W37" i="12" s="1"/>
  <c r="T37" i="12"/>
  <c r="U37" i="12" s="1"/>
  <c r="R37" i="12"/>
  <c r="S37" i="12" s="1"/>
  <c r="D37" i="12"/>
  <c r="AF36" i="12"/>
  <c r="AG36" i="12" s="1"/>
  <c r="AA36" i="12"/>
  <c r="V36" i="12"/>
  <c r="W36" i="12" s="1"/>
  <c r="T36" i="12"/>
  <c r="U36" i="12" s="1"/>
  <c r="R36" i="12"/>
  <c r="S36" i="12" s="1"/>
  <c r="D36" i="12"/>
  <c r="AI36" i="12" s="1"/>
  <c r="AF35" i="12"/>
  <c r="AG35" i="12" s="1"/>
  <c r="AA35" i="12"/>
  <c r="V35" i="12"/>
  <c r="W35" i="12" s="1"/>
  <c r="T35" i="12"/>
  <c r="U35" i="12" s="1"/>
  <c r="R35" i="12"/>
  <c r="S35" i="12" s="1"/>
  <c r="D35" i="12"/>
  <c r="AF34" i="12"/>
  <c r="AG34" i="12" s="1"/>
  <c r="AA34" i="12"/>
  <c r="V34" i="12"/>
  <c r="W34" i="12" s="1"/>
  <c r="T34" i="12"/>
  <c r="U34" i="12" s="1"/>
  <c r="R34" i="12"/>
  <c r="S34" i="12" s="1"/>
  <c r="D34" i="12"/>
  <c r="AI34" i="12" s="1"/>
  <c r="AF33" i="12"/>
  <c r="AG33" i="12" s="1"/>
  <c r="AA33" i="12"/>
  <c r="W33" i="12"/>
  <c r="V33" i="12"/>
  <c r="U33" i="12"/>
  <c r="T33" i="12"/>
  <c r="S33" i="12"/>
  <c r="R33" i="12"/>
  <c r="D33" i="12"/>
  <c r="AF32" i="12"/>
  <c r="AG32" i="12" s="1"/>
  <c r="AA32" i="12"/>
  <c r="V32" i="12"/>
  <c r="W32" i="12" s="1"/>
  <c r="T32" i="12"/>
  <c r="U32" i="12" s="1"/>
  <c r="R32" i="12"/>
  <c r="S32" i="12" s="1"/>
  <c r="D32" i="12"/>
  <c r="AI32" i="12" s="1"/>
  <c r="AF31" i="12"/>
  <c r="AG31" i="12" s="1"/>
  <c r="AA31" i="12"/>
  <c r="V31" i="12"/>
  <c r="W31" i="12" s="1"/>
  <c r="T31" i="12"/>
  <c r="U31" i="12" s="1"/>
  <c r="R31" i="12"/>
  <c r="S31" i="12" s="1"/>
  <c r="D31" i="12"/>
  <c r="AF30" i="12"/>
  <c r="AG30" i="12" s="1"/>
  <c r="AA30" i="12"/>
  <c r="V30" i="12"/>
  <c r="W30" i="12" s="1"/>
  <c r="T30" i="12"/>
  <c r="U30" i="12" s="1"/>
  <c r="R30" i="12"/>
  <c r="S30" i="12" s="1"/>
  <c r="D30" i="12"/>
  <c r="AI30" i="12" s="1"/>
  <c r="AF29" i="12"/>
  <c r="AG29" i="12" s="1"/>
  <c r="AA29" i="12"/>
  <c r="V29" i="12"/>
  <c r="W29" i="12" s="1"/>
  <c r="U29" i="12"/>
  <c r="T29" i="12"/>
  <c r="R29" i="12"/>
  <c r="S29" i="12" s="1"/>
  <c r="D29" i="12"/>
  <c r="AF28" i="12"/>
  <c r="AG28" i="12" s="1"/>
  <c r="AA28" i="12"/>
  <c r="V28" i="12"/>
  <c r="W28" i="12" s="1"/>
  <c r="T28" i="12"/>
  <c r="U28" i="12" s="1"/>
  <c r="R28" i="12"/>
  <c r="S28" i="12" s="1"/>
  <c r="D28" i="12"/>
  <c r="AI28" i="12" s="1"/>
  <c r="AF27" i="12"/>
  <c r="AG27" i="12" s="1"/>
  <c r="AA27" i="12"/>
  <c r="V27" i="12"/>
  <c r="W27" i="12" s="1"/>
  <c r="T27" i="12"/>
  <c r="U27" i="12" s="1"/>
  <c r="R27" i="12"/>
  <c r="S27" i="12" s="1"/>
  <c r="D27" i="12"/>
  <c r="AF26" i="12"/>
  <c r="AG26" i="12" s="1"/>
  <c r="AA26" i="12"/>
  <c r="V26" i="12"/>
  <c r="W26" i="12" s="1"/>
  <c r="T26" i="12"/>
  <c r="U26" i="12" s="1"/>
  <c r="R26" i="12"/>
  <c r="S26" i="12" s="1"/>
  <c r="P26" i="12"/>
  <c r="P27" i="12" s="1"/>
  <c r="D26" i="12"/>
  <c r="AI26" i="12" s="1"/>
  <c r="AF25" i="12"/>
  <c r="AG25" i="12" s="1"/>
  <c r="AA25" i="12"/>
  <c r="X25" i="12"/>
  <c r="X26" i="12" s="1"/>
  <c r="X27" i="12" s="1"/>
  <c r="V25" i="12"/>
  <c r="W25" i="12" s="1"/>
  <c r="U25" i="12"/>
  <c r="T25" i="12"/>
  <c r="R25" i="12"/>
  <c r="S25" i="12" s="1"/>
  <c r="P25" i="12"/>
  <c r="Q25" i="12" s="1"/>
  <c r="D25" i="12"/>
  <c r="AF24" i="12"/>
  <c r="AG24" i="12" s="1"/>
  <c r="AD24" i="12"/>
  <c r="AE24" i="12" s="1"/>
  <c r="AB24" i="12"/>
  <c r="AB25" i="12" s="1"/>
  <c r="AB26" i="12" s="1"/>
  <c r="AA24" i="12"/>
  <c r="Y24" i="12"/>
  <c r="P24" i="12"/>
  <c r="D24" i="12"/>
  <c r="T22" i="12"/>
  <c r="S19" i="12" s="1"/>
  <c r="V19" i="12" s="1"/>
  <c r="F21" i="12"/>
  <c r="M21" i="12" s="1"/>
  <c r="M20" i="12"/>
  <c r="M18" i="12"/>
  <c r="F17" i="12"/>
  <c r="M17" i="12" s="1"/>
  <c r="F16" i="12"/>
  <c r="M16" i="12" s="1"/>
  <c r="F15" i="12"/>
  <c r="M15" i="12" s="1"/>
  <c r="F14" i="12"/>
  <c r="M14" i="12" s="1"/>
  <c r="I9" i="12"/>
  <c r="F19" i="12" s="1"/>
  <c r="M19" i="12" s="1"/>
  <c r="T47" i="11"/>
  <c r="S44" i="11"/>
  <c r="V44" i="11" s="1"/>
  <c r="F17" i="11" s="1"/>
  <c r="M17" i="11" s="1"/>
  <c r="AF39" i="11"/>
  <c r="AG39" i="11" s="1"/>
  <c r="AA39" i="11"/>
  <c r="V39" i="11"/>
  <c r="W39" i="11" s="1"/>
  <c r="T39" i="11"/>
  <c r="U39" i="11" s="1"/>
  <c r="R39" i="11"/>
  <c r="S39" i="11" s="1"/>
  <c r="D39" i="11"/>
  <c r="AI39" i="11" s="1"/>
  <c r="AF38" i="11"/>
  <c r="AG38" i="11" s="1"/>
  <c r="AA38" i="11"/>
  <c r="V38" i="11"/>
  <c r="W38" i="11" s="1"/>
  <c r="T38" i="11"/>
  <c r="U38" i="11" s="1"/>
  <c r="R38" i="11"/>
  <c r="S38" i="11" s="1"/>
  <c r="D38" i="11"/>
  <c r="AI38" i="11" s="1"/>
  <c r="AF37" i="11"/>
  <c r="AG37" i="11" s="1"/>
  <c r="AA37" i="11"/>
  <c r="V37" i="11"/>
  <c r="W37" i="11" s="1"/>
  <c r="T37" i="11"/>
  <c r="U37" i="11" s="1"/>
  <c r="R37" i="11"/>
  <c r="S37" i="11" s="1"/>
  <c r="D37" i="11"/>
  <c r="AI37" i="11" s="1"/>
  <c r="AF36" i="11"/>
  <c r="AG36" i="11" s="1"/>
  <c r="AA36" i="11"/>
  <c r="V36" i="11"/>
  <c r="W36" i="11" s="1"/>
  <c r="T36" i="11"/>
  <c r="U36" i="11" s="1"/>
  <c r="R36" i="11"/>
  <c r="S36" i="11" s="1"/>
  <c r="D36" i="11"/>
  <c r="AI36" i="11" s="1"/>
  <c r="AF35" i="11"/>
  <c r="AG35" i="11" s="1"/>
  <c r="AA35" i="11"/>
  <c r="V35" i="11"/>
  <c r="W35" i="11" s="1"/>
  <c r="T35" i="11"/>
  <c r="U35" i="11" s="1"/>
  <c r="R35" i="11"/>
  <c r="S35" i="11" s="1"/>
  <c r="D35" i="11"/>
  <c r="AI35" i="11" s="1"/>
  <c r="AG34" i="11"/>
  <c r="AF34" i="11"/>
  <c r="AA34" i="11"/>
  <c r="V34" i="11"/>
  <c r="W34" i="11" s="1"/>
  <c r="T34" i="11"/>
  <c r="U34" i="11" s="1"/>
  <c r="R34" i="11"/>
  <c r="S34" i="11" s="1"/>
  <c r="D34" i="11"/>
  <c r="AI34" i="11" s="1"/>
  <c r="AF33" i="11"/>
  <c r="AG33" i="11" s="1"/>
  <c r="AA33" i="11"/>
  <c r="V33" i="11"/>
  <c r="W33" i="11" s="1"/>
  <c r="U33" i="11"/>
  <c r="T33" i="11"/>
  <c r="R33" i="11"/>
  <c r="S33" i="11" s="1"/>
  <c r="D33" i="11"/>
  <c r="AF32" i="11"/>
  <c r="AG32" i="11" s="1"/>
  <c r="AA32" i="11"/>
  <c r="V32" i="11"/>
  <c r="W32" i="11" s="1"/>
  <c r="T32" i="11"/>
  <c r="U32" i="11" s="1"/>
  <c r="R32" i="11"/>
  <c r="S32" i="11" s="1"/>
  <c r="D32" i="11"/>
  <c r="AI32" i="11" s="1"/>
  <c r="AF31" i="11"/>
  <c r="AG31" i="11" s="1"/>
  <c r="AA31" i="11"/>
  <c r="V31" i="11"/>
  <c r="W31" i="11" s="1"/>
  <c r="T31" i="11"/>
  <c r="U31" i="11" s="1"/>
  <c r="R31" i="11"/>
  <c r="S31" i="11" s="1"/>
  <c r="D31" i="11"/>
  <c r="AF30" i="11"/>
  <c r="AG30" i="11" s="1"/>
  <c r="AA30" i="11"/>
  <c r="V30" i="11"/>
  <c r="W30" i="11" s="1"/>
  <c r="T30" i="11"/>
  <c r="U30" i="11" s="1"/>
  <c r="R30" i="11"/>
  <c r="S30" i="11" s="1"/>
  <c r="D30" i="11"/>
  <c r="AI30" i="11" s="1"/>
  <c r="AF29" i="11"/>
  <c r="AG29" i="11" s="1"/>
  <c r="AA29" i="11"/>
  <c r="V29" i="11"/>
  <c r="W29" i="11" s="1"/>
  <c r="U29" i="11"/>
  <c r="T29" i="11"/>
  <c r="R29" i="11"/>
  <c r="S29" i="11" s="1"/>
  <c r="D29" i="11"/>
  <c r="AF28" i="11"/>
  <c r="AG28" i="11" s="1"/>
  <c r="AA28" i="11"/>
  <c r="V28" i="11"/>
  <c r="W28" i="11" s="1"/>
  <c r="T28" i="11"/>
  <c r="U28" i="11" s="1"/>
  <c r="R28" i="11"/>
  <c r="S28" i="11" s="1"/>
  <c r="D28" i="11"/>
  <c r="AI28" i="11" s="1"/>
  <c r="AF27" i="11"/>
  <c r="AG27" i="11" s="1"/>
  <c r="AA27" i="11"/>
  <c r="V27" i="11"/>
  <c r="W27" i="11" s="1"/>
  <c r="T27" i="11"/>
  <c r="U27" i="11" s="1"/>
  <c r="R27" i="11"/>
  <c r="S27" i="11" s="1"/>
  <c r="D27" i="11"/>
  <c r="AF26" i="11"/>
  <c r="AG26" i="11" s="1"/>
  <c r="AA26" i="11"/>
  <c r="V26" i="11"/>
  <c r="W26" i="11" s="1"/>
  <c r="T26" i="11"/>
  <c r="U26" i="11" s="1"/>
  <c r="R26" i="11"/>
  <c r="S26" i="11" s="1"/>
  <c r="P26" i="11"/>
  <c r="P27" i="11" s="1"/>
  <c r="D26" i="11"/>
  <c r="AI26" i="11" s="1"/>
  <c r="AF25" i="11"/>
  <c r="AG25" i="11" s="1"/>
  <c r="AA25" i="11"/>
  <c r="V25" i="11"/>
  <c r="W25" i="11" s="1"/>
  <c r="T25" i="11"/>
  <c r="U25" i="11" s="1"/>
  <c r="R25" i="11"/>
  <c r="S25" i="11" s="1"/>
  <c r="P25" i="11"/>
  <c r="Q25" i="11" s="1"/>
  <c r="D25" i="11"/>
  <c r="AF24" i="11"/>
  <c r="AG24" i="11" s="1"/>
  <c r="AD24" i="11"/>
  <c r="AD25" i="11" s="1"/>
  <c r="AD26" i="11" s="1"/>
  <c r="AB24" i="11"/>
  <c r="AC24" i="11" s="1"/>
  <c r="AA24" i="11"/>
  <c r="X24" i="11"/>
  <c r="X25" i="11" s="1"/>
  <c r="V24" i="11"/>
  <c r="W24" i="11" s="1"/>
  <c r="T24" i="11"/>
  <c r="U24" i="11" s="1"/>
  <c r="R24" i="11"/>
  <c r="S24" i="11" s="1"/>
  <c r="P24" i="11"/>
  <c r="Q24" i="11" s="1"/>
  <c r="D24" i="11"/>
  <c r="AI24" i="11" s="1"/>
  <c r="F21" i="11"/>
  <c r="M21" i="11" s="1"/>
  <c r="M20" i="11"/>
  <c r="M18" i="11"/>
  <c r="F16" i="11"/>
  <c r="M16" i="11" s="1"/>
  <c r="F15" i="11"/>
  <c r="M15" i="11" s="1"/>
  <c r="F14" i="11"/>
  <c r="M14" i="11" s="1"/>
  <c r="I9" i="11"/>
  <c r="F19" i="11" s="1"/>
  <c r="M19" i="11" s="1"/>
  <c r="AF39" i="10"/>
  <c r="AG39" i="10" s="1"/>
  <c r="AA39" i="10"/>
  <c r="V39" i="10"/>
  <c r="W39" i="10" s="1"/>
  <c r="T39" i="10"/>
  <c r="U39" i="10" s="1"/>
  <c r="R39" i="10"/>
  <c r="S39" i="10" s="1"/>
  <c r="D39" i="10"/>
  <c r="AF38" i="10"/>
  <c r="AG38" i="10" s="1"/>
  <c r="AA38" i="10"/>
  <c r="V38" i="10"/>
  <c r="W38" i="10" s="1"/>
  <c r="T38" i="10"/>
  <c r="U38" i="10" s="1"/>
  <c r="R38" i="10"/>
  <c r="S38" i="10" s="1"/>
  <c r="D38" i="10"/>
  <c r="AI38" i="10" s="1"/>
  <c r="AF37" i="10"/>
  <c r="AG37" i="10" s="1"/>
  <c r="AA37" i="10"/>
  <c r="V37" i="10"/>
  <c r="W37" i="10" s="1"/>
  <c r="T37" i="10"/>
  <c r="U37" i="10" s="1"/>
  <c r="R37" i="10"/>
  <c r="S37" i="10" s="1"/>
  <c r="D37" i="10"/>
  <c r="AF36" i="10"/>
  <c r="AG36" i="10" s="1"/>
  <c r="AA36" i="10"/>
  <c r="V36" i="10"/>
  <c r="W36" i="10" s="1"/>
  <c r="T36" i="10"/>
  <c r="U36" i="10" s="1"/>
  <c r="R36" i="10"/>
  <c r="S36" i="10" s="1"/>
  <c r="D36" i="10"/>
  <c r="AI36" i="10" s="1"/>
  <c r="AF35" i="10"/>
  <c r="AG35" i="10" s="1"/>
  <c r="AA35" i="10"/>
  <c r="V35" i="10"/>
  <c r="W35" i="10" s="1"/>
  <c r="T35" i="10"/>
  <c r="U35" i="10" s="1"/>
  <c r="R35" i="10"/>
  <c r="S35" i="10" s="1"/>
  <c r="D35" i="10"/>
  <c r="AF34" i="10"/>
  <c r="AG34" i="10" s="1"/>
  <c r="AA34" i="10"/>
  <c r="V34" i="10"/>
  <c r="W34" i="10" s="1"/>
  <c r="T34" i="10"/>
  <c r="U34" i="10" s="1"/>
  <c r="R34" i="10"/>
  <c r="S34" i="10" s="1"/>
  <c r="D34" i="10"/>
  <c r="AI34" i="10" s="1"/>
  <c r="AF33" i="10"/>
  <c r="AG33" i="10" s="1"/>
  <c r="AA33" i="10"/>
  <c r="V33" i="10"/>
  <c r="W33" i="10" s="1"/>
  <c r="T33" i="10"/>
  <c r="U33" i="10" s="1"/>
  <c r="R33" i="10"/>
  <c r="S33" i="10" s="1"/>
  <c r="D33" i="10"/>
  <c r="AG32" i="10"/>
  <c r="AF32" i="10"/>
  <c r="AA32" i="10"/>
  <c r="V32" i="10"/>
  <c r="W32" i="10" s="1"/>
  <c r="T32" i="10"/>
  <c r="U32" i="10" s="1"/>
  <c r="R32" i="10"/>
  <c r="S32" i="10" s="1"/>
  <c r="D32" i="10"/>
  <c r="AI32" i="10" s="1"/>
  <c r="AF31" i="10"/>
  <c r="AG31" i="10" s="1"/>
  <c r="AA31" i="10"/>
  <c r="V31" i="10"/>
  <c r="W31" i="10" s="1"/>
  <c r="U31" i="10"/>
  <c r="T31" i="10"/>
  <c r="R31" i="10"/>
  <c r="S31" i="10" s="1"/>
  <c r="D31" i="10"/>
  <c r="AF30" i="10"/>
  <c r="AG30" i="10" s="1"/>
  <c r="AA30" i="10"/>
  <c r="V30" i="10"/>
  <c r="W30" i="10" s="1"/>
  <c r="T30" i="10"/>
  <c r="U30" i="10" s="1"/>
  <c r="R30" i="10"/>
  <c r="S30" i="10" s="1"/>
  <c r="D30" i="10"/>
  <c r="AI30" i="10" s="1"/>
  <c r="AF29" i="10"/>
  <c r="AG29" i="10" s="1"/>
  <c r="AA29" i="10"/>
  <c r="V29" i="10"/>
  <c r="W29" i="10" s="1"/>
  <c r="T29" i="10"/>
  <c r="U29" i="10" s="1"/>
  <c r="R29" i="10"/>
  <c r="S29" i="10" s="1"/>
  <c r="D29" i="10"/>
  <c r="AF28" i="10"/>
  <c r="AG28" i="10" s="1"/>
  <c r="AA28" i="10"/>
  <c r="V28" i="10"/>
  <c r="W28" i="10" s="1"/>
  <c r="T28" i="10"/>
  <c r="U28" i="10" s="1"/>
  <c r="R28" i="10"/>
  <c r="S28" i="10" s="1"/>
  <c r="D28" i="10"/>
  <c r="AI28" i="10" s="1"/>
  <c r="AF27" i="10"/>
  <c r="AG27" i="10" s="1"/>
  <c r="AA27" i="10"/>
  <c r="V27" i="10"/>
  <c r="W27" i="10" s="1"/>
  <c r="T27" i="10"/>
  <c r="U27" i="10" s="1"/>
  <c r="R27" i="10"/>
  <c r="S27" i="10" s="1"/>
  <c r="D27" i="10"/>
  <c r="AG26" i="10"/>
  <c r="AF26" i="10"/>
  <c r="AA26" i="10"/>
  <c r="V26" i="10"/>
  <c r="W26" i="10" s="1"/>
  <c r="T26" i="10"/>
  <c r="U26" i="10" s="1"/>
  <c r="R26" i="10"/>
  <c r="S26" i="10" s="1"/>
  <c r="P26" i="10"/>
  <c r="P27" i="10" s="1"/>
  <c r="D26" i="10"/>
  <c r="AI26" i="10" s="1"/>
  <c r="AF25" i="10"/>
  <c r="AG25" i="10" s="1"/>
  <c r="AA25" i="10"/>
  <c r="V25" i="10"/>
  <c r="W25" i="10" s="1"/>
  <c r="T25" i="10"/>
  <c r="U25" i="10" s="1"/>
  <c r="R25" i="10"/>
  <c r="S25" i="10" s="1"/>
  <c r="P25" i="10"/>
  <c r="Q25" i="10" s="1"/>
  <c r="D25" i="10"/>
  <c r="AF24" i="10"/>
  <c r="AG24" i="10" s="1"/>
  <c r="AD24" i="10"/>
  <c r="AD25" i="10" s="1"/>
  <c r="AD26" i="10" s="1"/>
  <c r="AB24" i="10"/>
  <c r="AC24" i="10" s="1"/>
  <c r="AA24" i="10"/>
  <c r="X24" i="10"/>
  <c r="V24" i="10"/>
  <c r="W24" i="10" s="1"/>
  <c r="T24" i="10"/>
  <c r="U24" i="10" s="1"/>
  <c r="R24" i="10"/>
  <c r="S24" i="10" s="1"/>
  <c r="P24" i="10"/>
  <c r="Q24" i="10" s="1"/>
  <c r="D24" i="10"/>
  <c r="AI24" i="10" s="1"/>
  <c r="T21" i="10"/>
  <c r="S18" i="10" s="1"/>
  <c r="V18" i="10" s="1"/>
  <c r="F17" i="10" s="1"/>
  <c r="M17" i="10" s="1"/>
  <c r="F21" i="10"/>
  <c r="M21" i="10" s="1"/>
  <c r="M20" i="10"/>
  <c r="M18" i="10"/>
  <c r="F16" i="10"/>
  <c r="M16" i="10" s="1"/>
  <c r="F15" i="10"/>
  <c r="M15" i="10" s="1"/>
  <c r="F14" i="10"/>
  <c r="M14" i="10" s="1"/>
  <c r="I9" i="10"/>
  <c r="F19" i="10" s="1"/>
  <c r="M19" i="10" s="1"/>
  <c r="AF39" i="9"/>
  <c r="AG39" i="9" s="1"/>
  <c r="AA39" i="9"/>
  <c r="V39" i="9"/>
  <c r="W39" i="9" s="1"/>
  <c r="T39" i="9"/>
  <c r="U39" i="9" s="1"/>
  <c r="R39" i="9"/>
  <c r="S39" i="9" s="1"/>
  <c r="D39" i="9"/>
  <c r="AI39" i="9" s="1"/>
  <c r="AF38" i="9"/>
  <c r="AG38" i="9" s="1"/>
  <c r="AA38" i="9"/>
  <c r="V38" i="9"/>
  <c r="W38" i="9" s="1"/>
  <c r="T38" i="9"/>
  <c r="U38" i="9" s="1"/>
  <c r="R38" i="9"/>
  <c r="S38" i="9" s="1"/>
  <c r="D38" i="9"/>
  <c r="AI38" i="9" s="1"/>
  <c r="AF37" i="9"/>
  <c r="AG37" i="9" s="1"/>
  <c r="AA37" i="9"/>
  <c r="V37" i="9"/>
  <c r="W37" i="9" s="1"/>
  <c r="T37" i="9"/>
  <c r="U37" i="9" s="1"/>
  <c r="R37" i="9"/>
  <c r="S37" i="9" s="1"/>
  <c r="D37" i="9"/>
  <c r="AI37" i="9" s="1"/>
  <c r="AF36" i="9"/>
  <c r="AG36" i="9" s="1"/>
  <c r="AA36" i="9"/>
  <c r="V36" i="9"/>
  <c r="W36" i="9" s="1"/>
  <c r="T36" i="9"/>
  <c r="U36" i="9" s="1"/>
  <c r="R36" i="9"/>
  <c r="S36" i="9" s="1"/>
  <c r="D36" i="9"/>
  <c r="AI36" i="9" s="1"/>
  <c r="AF35" i="9"/>
  <c r="AG35" i="9" s="1"/>
  <c r="AA35" i="9"/>
  <c r="V35" i="9"/>
  <c r="W35" i="9" s="1"/>
  <c r="T35" i="9"/>
  <c r="U35" i="9" s="1"/>
  <c r="R35" i="9"/>
  <c r="S35" i="9" s="1"/>
  <c r="D35" i="9"/>
  <c r="AI35" i="9" s="1"/>
  <c r="AF34" i="9"/>
  <c r="AG34" i="9" s="1"/>
  <c r="AA34" i="9"/>
  <c r="V34" i="9"/>
  <c r="W34" i="9" s="1"/>
  <c r="T34" i="9"/>
  <c r="U34" i="9" s="1"/>
  <c r="R34" i="9"/>
  <c r="S34" i="9" s="1"/>
  <c r="D34" i="9"/>
  <c r="AI34" i="9" s="1"/>
  <c r="AG33" i="9"/>
  <c r="AF33" i="9"/>
  <c r="AA33" i="9"/>
  <c r="V33" i="9"/>
  <c r="W33" i="9" s="1"/>
  <c r="T33" i="9"/>
  <c r="U33" i="9" s="1"/>
  <c r="R33" i="9"/>
  <c r="S33" i="9" s="1"/>
  <c r="D33" i="9"/>
  <c r="AI33" i="9" s="1"/>
  <c r="AF32" i="9"/>
  <c r="AG32" i="9" s="1"/>
  <c r="AA32" i="9"/>
  <c r="V32" i="9"/>
  <c r="W32" i="9" s="1"/>
  <c r="U32" i="9"/>
  <c r="T32" i="9"/>
  <c r="R32" i="9"/>
  <c r="S32" i="9" s="1"/>
  <c r="D32" i="9"/>
  <c r="AI32" i="9" s="1"/>
  <c r="AF31" i="9"/>
  <c r="AG31" i="9" s="1"/>
  <c r="AA31" i="9"/>
  <c r="V31" i="9"/>
  <c r="W31" i="9" s="1"/>
  <c r="T31" i="9"/>
  <c r="U31" i="9" s="1"/>
  <c r="R31" i="9"/>
  <c r="S31" i="9" s="1"/>
  <c r="D31" i="9"/>
  <c r="AF30" i="9"/>
  <c r="AG30" i="9" s="1"/>
  <c r="AA30" i="9"/>
  <c r="V30" i="9"/>
  <c r="W30" i="9" s="1"/>
  <c r="T30" i="9"/>
  <c r="U30" i="9" s="1"/>
  <c r="R30" i="9"/>
  <c r="S30" i="9" s="1"/>
  <c r="D30" i="9"/>
  <c r="AI30" i="9" s="1"/>
  <c r="AF29" i="9"/>
  <c r="AG29" i="9" s="1"/>
  <c r="AA29" i="9"/>
  <c r="W29" i="9"/>
  <c r="V29" i="9"/>
  <c r="U29" i="9"/>
  <c r="T29" i="9"/>
  <c r="S29" i="9"/>
  <c r="R29" i="9"/>
  <c r="D29" i="9"/>
  <c r="AF28" i="9"/>
  <c r="AG28" i="9" s="1"/>
  <c r="AA28" i="9"/>
  <c r="V28" i="9"/>
  <c r="W28" i="9" s="1"/>
  <c r="T28" i="9"/>
  <c r="U28" i="9" s="1"/>
  <c r="R28" i="9"/>
  <c r="S28" i="9" s="1"/>
  <c r="D28" i="9"/>
  <c r="AI28" i="9" s="1"/>
  <c r="AF27" i="9"/>
  <c r="AG27" i="9" s="1"/>
  <c r="AA27" i="9"/>
  <c r="V27" i="9"/>
  <c r="W27" i="9" s="1"/>
  <c r="T27" i="9"/>
  <c r="U27" i="9" s="1"/>
  <c r="R27" i="9"/>
  <c r="S27" i="9" s="1"/>
  <c r="D27" i="9"/>
  <c r="AF26" i="9"/>
  <c r="AG26" i="9" s="1"/>
  <c r="AA26" i="9"/>
  <c r="V26" i="9"/>
  <c r="W26" i="9" s="1"/>
  <c r="T26" i="9"/>
  <c r="U26" i="9" s="1"/>
  <c r="R26" i="9"/>
  <c r="S26" i="9" s="1"/>
  <c r="P26" i="9"/>
  <c r="P27" i="9" s="1"/>
  <c r="D26" i="9"/>
  <c r="AI26" i="9" s="1"/>
  <c r="AF25" i="9"/>
  <c r="AG25" i="9" s="1"/>
  <c r="AA25" i="9"/>
  <c r="X25" i="9"/>
  <c r="Y25" i="9" s="1"/>
  <c r="V25" i="9"/>
  <c r="W25" i="9" s="1"/>
  <c r="T25" i="9"/>
  <c r="U25" i="9" s="1"/>
  <c r="R25" i="9"/>
  <c r="S25" i="9" s="1"/>
  <c r="P25" i="9"/>
  <c r="Q25" i="9" s="1"/>
  <c r="D25" i="9"/>
  <c r="AG24" i="9"/>
  <c r="AF24" i="9"/>
  <c r="AE24" i="9"/>
  <c r="AD24" i="9"/>
  <c r="AD25" i="9" s="1"/>
  <c r="AD26" i="9" s="1"/>
  <c r="AC24" i="9"/>
  <c r="AB24" i="9"/>
  <c r="AB25" i="9" s="1"/>
  <c r="AB26" i="9" s="1"/>
  <c r="AA24" i="9"/>
  <c r="Y24" i="9"/>
  <c r="P24" i="9"/>
  <c r="D24" i="9"/>
  <c r="T21" i="9"/>
  <c r="S18" i="9" s="1"/>
  <c r="V18" i="9" s="1"/>
  <c r="F17" i="9" s="1"/>
  <c r="M17" i="9" s="1"/>
  <c r="F21" i="9"/>
  <c r="M21" i="9" s="1"/>
  <c r="M20" i="9"/>
  <c r="M18" i="9"/>
  <c r="F16" i="9"/>
  <c r="M16" i="9" s="1"/>
  <c r="F15" i="9"/>
  <c r="M15" i="9" s="1"/>
  <c r="F14" i="9"/>
  <c r="M14" i="9" s="1"/>
  <c r="I9" i="9"/>
  <c r="F19" i="9" s="1"/>
  <c r="M19" i="9" s="1"/>
  <c r="I7" i="9"/>
  <c r="AF39" i="8"/>
  <c r="AG39" i="8" s="1"/>
  <c r="AA39" i="8"/>
  <c r="V39" i="8"/>
  <c r="W39" i="8" s="1"/>
  <c r="T39" i="8"/>
  <c r="U39" i="8" s="1"/>
  <c r="R39" i="8"/>
  <c r="S39" i="8" s="1"/>
  <c r="D39" i="8"/>
  <c r="AI39" i="8" s="1"/>
  <c r="AF38" i="8"/>
  <c r="AG38" i="8" s="1"/>
  <c r="AA38" i="8"/>
  <c r="V38" i="8"/>
  <c r="W38" i="8" s="1"/>
  <c r="T38" i="8"/>
  <c r="U38" i="8" s="1"/>
  <c r="R38" i="8"/>
  <c r="S38" i="8" s="1"/>
  <c r="D38" i="8"/>
  <c r="AF37" i="8"/>
  <c r="AG37" i="8" s="1"/>
  <c r="AA37" i="8"/>
  <c r="V37" i="8"/>
  <c r="W37" i="8" s="1"/>
  <c r="T37" i="8"/>
  <c r="U37" i="8" s="1"/>
  <c r="R37" i="8"/>
  <c r="S37" i="8" s="1"/>
  <c r="D37" i="8"/>
  <c r="AI37" i="8" s="1"/>
  <c r="AF36" i="8"/>
  <c r="AG36" i="8" s="1"/>
  <c r="AA36" i="8"/>
  <c r="V36" i="8"/>
  <c r="W36" i="8" s="1"/>
  <c r="T36" i="8"/>
  <c r="U36" i="8" s="1"/>
  <c r="R36" i="8"/>
  <c r="S36" i="8" s="1"/>
  <c r="D36" i="8"/>
  <c r="AG35" i="8"/>
  <c r="AF35" i="8"/>
  <c r="AA35" i="8"/>
  <c r="V35" i="8"/>
  <c r="W35" i="8" s="1"/>
  <c r="T35" i="8"/>
  <c r="U35" i="8" s="1"/>
  <c r="R35" i="8"/>
  <c r="S35" i="8" s="1"/>
  <c r="D35" i="8"/>
  <c r="AI35" i="8" s="1"/>
  <c r="AF34" i="8"/>
  <c r="AG34" i="8" s="1"/>
  <c r="AA34" i="8"/>
  <c r="V34" i="8"/>
  <c r="W34" i="8" s="1"/>
  <c r="U34" i="8"/>
  <c r="T34" i="8"/>
  <c r="R34" i="8"/>
  <c r="S34" i="8" s="1"/>
  <c r="D34" i="8"/>
  <c r="AF33" i="8"/>
  <c r="AG33" i="8" s="1"/>
  <c r="AA33" i="8"/>
  <c r="V33" i="8"/>
  <c r="W33" i="8" s="1"/>
  <c r="T33" i="8"/>
  <c r="U33" i="8" s="1"/>
  <c r="R33" i="8"/>
  <c r="S33" i="8" s="1"/>
  <c r="D33" i="8"/>
  <c r="AI33" i="8" s="1"/>
  <c r="AF32" i="8"/>
  <c r="AG32" i="8" s="1"/>
  <c r="AA32" i="8"/>
  <c r="V32" i="8"/>
  <c r="W32" i="8" s="1"/>
  <c r="T32" i="8"/>
  <c r="U32" i="8" s="1"/>
  <c r="R32" i="8"/>
  <c r="S32" i="8" s="1"/>
  <c r="D32" i="8"/>
  <c r="AF31" i="8"/>
  <c r="AG31" i="8" s="1"/>
  <c r="AA31" i="8"/>
  <c r="V31" i="8"/>
  <c r="W31" i="8" s="1"/>
  <c r="T31" i="8"/>
  <c r="U31" i="8" s="1"/>
  <c r="R31" i="8"/>
  <c r="S31" i="8" s="1"/>
  <c r="D31" i="8"/>
  <c r="AI31" i="8" s="1"/>
  <c r="AF30" i="8"/>
  <c r="AG30" i="8" s="1"/>
  <c r="AA30" i="8"/>
  <c r="V30" i="8"/>
  <c r="W30" i="8" s="1"/>
  <c r="T30" i="8"/>
  <c r="U30" i="8" s="1"/>
  <c r="R30" i="8"/>
  <c r="S30" i="8" s="1"/>
  <c r="D30" i="8"/>
  <c r="AF29" i="8"/>
  <c r="AG29" i="8" s="1"/>
  <c r="AA29" i="8"/>
  <c r="V29" i="8"/>
  <c r="W29" i="8" s="1"/>
  <c r="T29" i="8"/>
  <c r="U29" i="8" s="1"/>
  <c r="R29" i="8"/>
  <c r="S29" i="8" s="1"/>
  <c r="D29" i="8"/>
  <c r="AI29" i="8" s="1"/>
  <c r="AF28" i="8"/>
  <c r="AG28" i="8" s="1"/>
  <c r="AA28" i="8"/>
  <c r="V28" i="8"/>
  <c r="W28" i="8" s="1"/>
  <c r="T28" i="8"/>
  <c r="U28" i="8" s="1"/>
  <c r="R28" i="8"/>
  <c r="S28" i="8" s="1"/>
  <c r="D28" i="8"/>
  <c r="AF27" i="8"/>
  <c r="AG27" i="8" s="1"/>
  <c r="AA27" i="8"/>
  <c r="V27" i="8"/>
  <c r="W27" i="8" s="1"/>
  <c r="T27" i="8"/>
  <c r="U27" i="8" s="1"/>
  <c r="R27" i="8"/>
  <c r="S27" i="8" s="1"/>
  <c r="D27" i="8"/>
  <c r="AI27" i="8" s="1"/>
  <c r="AF26" i="8"/>
  <c r="AG26" i="8" s="1"/>
  <c r="AA26" i="8"/>
  <c r="V26" i="8"/>
  <c r="W26" i="8" s="1"/>
  <c r="T26" i="8"/>
  <c r="U26" i="8" s="1"/>
  <c r="R26" i="8"/>
  <c r="S26" i="8" s="1"/>
  <c r="P26" i="8"/>
  <c r="P27" i="8" s="1"/>
  <c r="P28" i="8" s="1"/>
  <c r="D26" i="8"/>
  <c r="AF25" i="8"/>
  <c r="AG25" i="8" s="1"/>
  <c r="AA25" i="8"/>
  <c r="V25" i="8"/>
  <c r="W25" i="8" s="1"/>
  <c r="T25" i="8"/>
  <c r="U25" i="8" s="1"/>
  <c r="R25" i="8"/>
  <c r="S25" i="8" s="1"/>
  <c r="P25" i="8"/>
  <c r="Q25" i="8" s="1"/>
  <c r="D25" i="8"/>
  <c r="AI25" i="8" s="1"/>
  <c r="AF24" i="8"/>
  <c r="AG24" i="8" s="1"/>
  <c r="AD24" i="8"/>
  <c r="AD25" i="8" s="1"/>
  <c r="AB24" i="8"/>
  <c r="AB25" i="8" s="1"/>
  <c r="AA24" i="8"/>
  <c r="X24" i="8"/>
  <c r="X25" i="8" s="1"/>
  <c r="X26" i="8" s="1"/>
  <c r="V24" i="8"/>
  <c r="W24" i="8" s="1"/>
  <c r="T24" i="8"/>
  <c r="U24" i="8" s="1"/>
  <c r="R24" i="8"/>
  <c r="S24" i="8" s="1"/>
  <c r="P24" i="8"/>
  <c r="Q24" i="8" s="1"/>
  <c r="D24" i="8"/>
  <c r="T21" i="8"/>
  <c r="S18" i="8" s="1"/>
  <c r="V18" i="8" s="1"/>
  <c r="F17" i="8" s="1"/>
  <c r="M17" i="8" s="1"/>
  <c r="F21" i="8"/>
  <c r="M21" i="8" s="1"/>
  <c r="M20" i="8"/>
  <c r="M18" i="8"/>
  <c r="F16" i="8"/>
  <c r="M16" i="8" s="1"/>
  <c r="F15" i="8"/>
  <c r="M15" i="8" s="1"/>
  <c r="F14" i="8"/>
  <c r="M14" i="8" s="1"/>
  <c r="I9" i="8"/>
  <c r="I7" i="8" s="1"/>
  <c r="AF39" i="7"/>
  <c r="AG39" i="7" s="1"/>
  <c r="AA39" i="7"/>
  <c r="V39" i="7"/>
  <c r="W39" i="7" s="1"/>
  <c r="T39" i="7"/>
  <c r="U39" i="7" s="1"/>
  <c r="R39" i="7"/>
  <c r="S39" i="7" s="1"/>
  <c r="D39" i="7"/>
  <c r="AI39" i="7" s="1"/>
  <c r="AF38" i="7"/>
  <c r="AG38" i="7" s="1"/>
  <c r="AA38" i="7"/>
  <c r="V38" i="7"/>
  <c r="W38" i="7" s="1"/>
  <c r="T38" i="7"/>
  <c r="U38" i="7" s="1"/>
  <c r="R38" i="7"/>
  <c r="S38" i="7" s="1"/>
  <c r="D38" i="7"/>
  <c r="AI38" i="7" s="1"/>
  <c r="AF37" i="7"/>
  <c r="AG37" i="7" s="1"/>
  <c r="AA37" i="7"/>
  <c r="V37" i="7"/>
  <c r="W37" i="7" s="1"/>
  <c r="T37" i="7"/>
  <c r="U37" i="7" s="1"/>
  <c r="R37" i="7"/>
  <c r="S37" i="7" s="1"/>
  <c r="D37" i="7"/>
  <c r="AI37" i="7" s="1"/>
  <c r="AF36" i="7"/>
  <c r="AG36" i="7" s="1"/>
  <c r="AA36" i="7"/>
  <c r="V36" i="7"/>
  <c r="W36" i="7" s="1"/>
  <c r="T36" i="7"/>
  <c r="U36" i="7" s="1"/>
  <c r="R36" i="7"/>
  <c r="S36" i="7" s="1"/>
  <c r="D36" i="7"/>
  <c r="AI36" i="7" s="1"/>
  <c r="AF35" i="7"/>
  <c r="AG35" i="7" s="1"/>
  <c r="AA35" i="7"/>
  <c r="V35" i="7"/>
  <c r="W35" i="7" s="1"/>
  <c r="T35" i="7"/>
  <c r="U35" i="7" s="1"/>
  <c r="R35" i="7"/>
  <c r="S35" i="7" s="1"/>
  <c r="D35" i="7"/>
  <c r="AI35" i="7" s="1"/>
  <c r="AG34" i="7"/>
  <c r="AF34" i="7"/>
  <c r="AA34" i="7"/>
  <c r="V34" i="7"/>
  <c r="W34" i="7" s="1"/>
  <c r="T34" i="7"/>
  <c r="U34" i="7" s="1"/>
  <c r="R34" i="7"/>
  <c r="S34" i="7" s="1"/>
  <c r="D34" i="7"/>
  <c r="AI34" i="7" s="1"/>
  <c r="AF33" i="7"/>
  <c r="AG33" i="7" s="1"/>
  <c r="AA33" i="7"/>
  <c r="V33" i="7"/>
  <c r="W33" i="7" s="1"/>
  <c r="U33" i="7"/>
  <c r="T33" i="7"/>
  <c r="R33" i="7"/>
  <c r="S33" i="7" s="1"/>
  <c r="D33" i="7"/>
  <c r="AI33" i="7" s="1"/>
  <c r="AF32" i="7"/>
  <c r="AG32" i="7" s="1"/>
  <c r="AA32" i="7"/>
  <c r="V32" i="7"/>
  <c r="W32" i="7" s="1"/>
  <c r="T32" i="7"/>
  <c r="U32" i="7" s="1"/>
  <c r="R32" i="7"/>
  <c r="S32" i="7" s="1"/>
  <c r="D32" i="7"/>
  <c r="AI32" i="7" s="1"/>
  <c r="AF31" i="7"/>
  <c r="AG31" i="7" s="1"/>
  <c r="AA31" i="7"/>
  <c r="V31" i="7"/>
  <c r="W31" i="7" s="1"/>
  <c r="T31" i="7"/>
  <c r="U31" i="7" s="1"/>
  <c r="R31" i="7"/>
  <c r="S31" i="7" s="1"/>
  <c r="D31" i="7"/>
  <c r="AI31" i="7" s="1"/>
  <c r="AF30" i="7"/>
  <c r="AG30" i="7" s="1"/>
  <c r="AA30" i="7"/>
  <c r="V30" i="7"/>
  <c r="W30" i="7" s="1"/>
  <c r="T30" i="7"/>
  <c r="U30" i="7" s="1"/>
  <c r="R30" i="7"/>
  <c r="S30" i="7" s="1"/>
  <c r="D30" i="7"/>
  <c r="AI30" i="7" s="1"/>
  <c r="AF29" i="7"/>
  <c r="AG29" i="7" s="1"/>
  <c r="AA29" i="7"/>
  <c r="V29" i="7"/>
  <c r="W29" i="7" s="1"/>
  <c r="T29" i="7"/>
  <c r="U29" i="7" s="1"/>
  <c r="R29" i="7"/>
  <c r="S29" i="7" s="1"/>
  <c r="D29" i="7"/>
  <c r="AI29" i="7" s="1"/>
  <c r="AF28" i="7"/>
  <c r="AG28" i="7" s="1"/>
  <c r="AA28" i="7"/>
  <c r="V28" i="7"/>
  <c r="W28" i="7" s="1"/>
  <c r="T28" i="7"/>
  <c r="U28" i="7" s="1"/>
  <c r="R28" i="7"/>
  <c r="S28" i="7" s="1"/>
  <c r="D28" i="7"/>
  <c r="AI28" i="7" s="1"/>
  <c r="AF27" i="7"/>
  <c r="AG27" i="7" s="1"/>
  <c r="AA27" i="7"/>
  <c r="V27" i="7"/>
  <c r="W27" i="7" s="1"/>
  <c r="T27" i="7"/>
  <c r="U27" i="7" s="1"/>
  <c r="R27" i="7"/>
  <c r="S27" i="7" s="1"/>
  <c r="D27" i="7"/>
  <c r="AI27" i="7" s="1"/>
  <c r="AF26" i="7"/>
  <c r="AG26" i="7" s="1"/>
  <c r="AA26" i="7"/>
  <c r="V26" i="7"/>
  <c r="W26" i="7" s="1"/>
  <c r="T26" i="7"/>
  <c r="U26" i="7" s="1"/>
  <c r="R26" i="7"/>
  <c r="S26" i="7" s="1"/>
  <c r="P26" i="7"/>
  <c r="P27" i="7" s="1"/>
  <c r="D26" i="7"/>
  <c r="AI26" i="7" s="1"/>
  <c r="AF25" i="7"/>
  <c r="AG25" i="7" s="1"/>
  <c r="AA25" i="7"/>
  <c r="V25" i="7"/>
  <c r="W25" i="7" s="1"/>
  <c r="U25" i="7"/>
  <c r="T25" i="7"/>
  <c r="R25" i="7"/>
  <c r="S25" i="7" s="1"/>
  <c r="P25" i="7"/>
  <c r="Q25" i="7" s="1"/>
  <c r="D25" i="7"/>
  <c r="AI25" i="7" s="1"/>
  <c r="AF24" i="7"/>
  <c r="AG24" i="7" s="1"/>
  <c r="AD24" i="7"/>
  <c r="AD25" i="7" s="1"/>
  <c r="AD26" i="7" s="1"/>
  <c r="AB24" i="7"/>
  <c r="AB25" i="7" s="1"/>
  <c r="AB26" i="7" s="1"/>
  <c r="AA24" i="7"/>
  <c r="X24" i="7"/>
  <c r="X25" i="7" s="1"/>
  <c r="V24" i="7"/>
  <c r="W24" i="7" s="1"/>
  <c r="T24" i="7"/>
  <c r="U24" i="7" s="1"/>
  <c r="R24" i="7"/>
  <c r="S24" i="7" s="1"/>
  <c r="P24" i="7"/>
  <c r="Q24" i="7" s="1"/>
  <c r="D24" i="7"/>
  <c r="AI24" i="7" s="1"/>
  <c r="T21" i="7"/>
  <c r="S18" i="7" s="1"/>
  <c r="V18" i="7" s="1"/>
  <c r="F17" i="7" s="1"/>
  <c r="M17" i="7" s="1"/>
  <c r="F21" i="7"/>
  <c r="M21" i="7" s="1"/>
  <c r="M20" i="7"/>
  <c r="M18" i="7"/>
  <c r="F16" i="7"/>
  <c r="M16" i="7" s="1"/>
  <c r="F15" i="7"/>
  <c r="M15" i="7" s="1"/>
  <c r="F14" i="7"/>
  <c r="M14" i="7" s="1"/>
  <c r="I9" i="7"/>
  <c r="F19" i="7" s="1"/>
  <c r="M19" i="7" s="1"/>
  <c r="X26" i="9" l="1"/>
  <c r="X27" i="9" s="1"/>
  <c r="AD25" i="12"/>
  <c r="AD26" i="12" s="1"/>
  <c r="AD27" i="12" s="1"/>
  <c r="AC24" i="7"/>
  <c r="AE24" i="7"/>
  <c r="Y24" i="8"/>
  <c r="AC24" i="12"/>
  <c r="Q26" i="8"/>
  <c r="AB25" i="10"/>
  <c r="AB26" i="10" s="1"/>
  <c r="AB27" i="10" s="1"/>
  <c r="AB25" i="11"/>
  <c r="AB26" i="11" s="1"/>
  <c r="AH24" i="9"/>
  <c r="AL24" i="9" s="1"/>
  <c r="AI24" i="9"/>
  <c r="AE24" i="10"/>
  <c r="AE24" i="11"/>
  <c r="AH24" i="12"/>
  <c r="AL24" i="12" s="1"/>
  <c r="AI24" i="12"/>
  <c r="Y25" i="12"/>
  <c r="Q26" i="13"/>
  <c r="I7" i="12"/>
  <c r="I7" i="7"/>
  <c r="I7" i="10"/>
  <c r="M22" i="10"/>
  <c r="X26" i="7"/>
  <c r="Y25" i="7"/>
  <c r="AD27" i="7"/>
  <c r="AE26" i="7"/>
  <c r="AC26" i="7"/>
  <c r="AB27" i="7"/>
  <c r="P28" i="7"/>
  <c r="Q27" i="7"/>
  <c r="M22" i="7"/>
  <c r="Y24" i="7"/>
  <c r="AC25" i="7"/>
  <c r="AH25" i="7" s="1"/>
  <c r="AE25" i="7"/>
  <c r="Q26" i="7"/>
  <c r="F19" i="8"/>
  <c r="M19" i="8" s="1"/>
  <c r="M22" i="8" s="1"/>
  <c r="AD26" i="8"/>
  <c r="AE25" i="8"/>
  <c r="P29" i="8"/>
  <c r="Q28" i="8"/>
  <c r="M22" i="9"/>
  <c r="AB27" i="9"/>
  <c r="AC26" i="9"/>
  <c r="P28" i="9"/>
  <c r="Q27" i="9"/>
  <c r="X28" i="9"/>
  <c r="Y27" i="9"/>
  <c r="AB26" i="8"/>
  <c r="AC25" i="8"/>
  <c r="X27" i="8"/>
  <c r="Y26" i="8"/>
  <c r="AD27" i="9"/>
  <c r="AE26" i="9"/>
  <c r="AC24" i="8"/>
  <c r="AE24" i="8"/>
  <c r="AI24" i="8"/>
  <c r="Y25" i="8"/>
  <c r="AI26" i="8"/>
  <c r="Q27" i="8"/>
  <c r="AI28" i="8"/>
  <c r="AI30" i="8"/>
  <c r="AI32" i="8"/>
  <c r="AI34" i="8"/>
  <c r="AI36" i="8"/>
  <c r="AI38" i="8"/>
  <c r="AC25" i="9"/>
  <c r="AE25" i="9"/>
  <c r="AI25" i="9"/>
  <c r="Q26" i="9"/>
  <c r="Y26" i="9"/>
  <c r="AI27" i="9"/>
  <c r="AI29" i="9"/>
  <c r="X25" i="10"/>
  <c r="Y24" i="10"/>
  <c r="AD27" i="10"/>
  <c r="AE26" i="10"/>
  <c r="M22" i="11"/>
  <c r="X26" i="11"/>
  <c r="Y25" i="11"/>
  <c r="AD27" i="11"/>
  <c r="AE26" i="11"/>
  <c r="AI31" i="9"/>
  <c r="O22" i="10"/>
  <c r="O23" i="10" s="1"/>
  <c r="M23" i="10" s="1"/>
  <c r="AH24" i="10"/>
  <c r="AC26" i="10"/>
  <c r="P28" i="10"/>
  <c r="Q27" i="10"/>
  <c r="AB27" i="11"/>
  <c r="AC26" i="11"/>
  <c r="P28" i="11"/>
  <c r="Q27" i="11"/>
  <c r="AE25" i="10"/>
  <c r="AI25" i="10"/>
  <c r="Q26" i="10"/>
  <c r="AI27" i="10"/>
  <c r="AI29" i="10"/>
  <c r="AI31" i="10"/>
  <c r="AI33" i="10"/>
  <c r="AI35" i="10"/>
  <c r="AI37" i="10"/>
  <c r="AI39" i="10"/>
  <c r="I7" i="11"/>
  <c r="Y24" i="11"/>
  <c r="AH24" i="11" s="1"/>
  <c r="AC25" i="11"/>
  <c r="AE25" i="11"/>
  <c r="AI25" i="11"/>
  <c r="Q26" i="11"/>
  <c r="AI27" i="11"/>
  <c r="AI29" i="11"/>
  <c r="AI31" i="11"/>
  <c r="AI33" i="11"/>
  <c r="M22" i="12"/>
  <c r="AB27" i="12"/>
  <c r="AC26" i="12"/>
  <c r="P28" i="12"/>
  <c r="Q27" i="12"/>
  <c r="X28" i="12"/>
  <c r="Y27" i="12"/>
  <c r="AJ24" i="12"/>
  <c r="AK24" i="12" s="1"/>
  <c r="AE26" i="12"/>
  <c r="AC25" i="12"/>
  <c r="AE25" i="12"/>
  <c r="AI25" i="12"/>
  <c r="Q26" i="12"/>
  <c r="Y26" i="12"/>
  <c r="AI27" i="12"/>
  <c r="AI29" i="12"/>
  <c r="AI31" i="12"/>
  <c r="AI33" i="12"/>
  <c r="AI35" i="12"/>
  <c r="AI37" i="12"/>
  <c r="AD26" i="13"/>
  <c r="AE25" i="13"/>
  <c r="AB26" i="13"/>
  <c r="AC25" i="13"/>
  <c r="X27" i="13"/>
  <c r="Y26" i="13"/>
  <c r="P28" i="13"/>
  <c r="Q27" i="13"/>
  <c r="F19" i="13"/>
  <c r="M19" i="13" s="1"/>
  <c r="M22" i="13" s="1"/>
  <c r="AI27" i="13"/>
  <c r="AI29" i="13"/>
  <c r="AC24" i="13"/>
  <c r="AE24" i="13"/>
  <c r="Y25" i="13"/>
  <c r="AH25" i="13" s="1"/>
  <c r="AI30" i="13"/>
  <c r="AI33" i="13"/>
  <c r="AI35" i="13"/>
  <c r="AI37" i="13"/>
  <c r="AI39" i="13"/>
  <c r="AH24" i="13" l="1"/>
  <c r="AH25" i="12"/>
  <c r="AJ25" i="12" s="1"/>
  <c r="AK25" i="12" s="1"/>
  <c r="AC25" i="10"/>
  <c r="AH26" i="9"/>
  <c r="AJ26" i="9" s="1"/>
  <c r="AK26" i="9" s="1"/>
  <c r="AH25" i="8"/>
  <c r="AJ24" i="9"/>
  <c r="AK24" i="9" s="1"/>
  <c r="AH24" i="7"/>
  <c r="AH26" i="12"/>
  <c r="AL26" i="12" s="1"/>
  <c r="AH25" i="11"/>
  <c r="AH25" i="9"/>
  <c r="AL25" i="9" s="1"/>
  <c r="AH24" i="8"/>
  <c r="AL24" i="13"/>
  <c r="AJ24" i="13"/>
  <c r="AK24" i="13" s="1"/>
  <c r="AL24" i="11"/>
  <c r="AJ24" i="11"/>
  <c r="AK24" i="11" s="1"/>
  <c r="O22" i="13"/>
  <c r="O23" i="13" s="1"/>
  <c r="M23" i="13" s="1"/>
  <c r="AJ26" i="12"/>
  <c r="AK26" i="12" s="1"/>
  <c r="AL25" i="11"/>
  <c r="AJ25" i="11"/>
  <c r="AK25" i="11" s="1"/>
  <c r="AJ25" i="9"/>
  <c r="AK25" i="9" s="1"/>
  <c r="AL24" i="8"/>
  <c r="AJ24" i="8"/>
  <c r="AK24" i="8" s="1"/>
  <c r="O22" i="8"/>
  <c r="O23" i="8" s="1"/>
  <c r="M23" i="8" s="1"/>
  <c r="AL24" i="7"/>
  <c r="AJ24" i="7"/>
  <c r="AK24" i="7" s="1"/>
  <c r="AL25" i="13"/>
  <c r="AJ25" i="13"/>
  <c r="AK25" i="13" s="1"/>
  <c r="AL25" i="12"/>
  <c r="AL26" i="9"/>
  <c r="AL25" i="8"/>
  <c r="AJ25" i="8"/>
  <c r="AK25" i="8" s="1"/>
  <c r="AJ25" i="7"/>
  <c r="AK25" i="7" s="1"/>
  <c r="AL25" i="7"/>
  <c r="P29" i="13"/>
  <c r="Q28" i="13"/>
  <c r="AB27" i="13"/>
  <c r="AC26" i="13"/>
  <c r="AD27" i="13"/>
  <c r="AE26" i="13"/>
  <c r="AD28" i="12"/>
  <c r="AE27" i="12"/>
  <c r="P29" i="10"/>
  <c r="Q28" i="10"/>
  <c r="AB28" i="10"/>
  <c r="AC27" i="10"/>
  <c r="AL24" i="10"/>
  <c r="AJ24" i="10"/>
  <c r="AK24" i="10" s="1"/>
  <c r="O22" i="11"/>
  <c r="O23" i="11" s="1"/>
  <c r="M23" i="11" s="1"/>
  <c r="X28" i="8"/>
  <c r="Y27" i="8"/>
  <c r="AB27" i="8"/>
  <c r="AC26" i="8"/>
  <c r="X29" i="9"/>
  <c r="Y28" i="9"/>
  <c r="P29" i="9"/>
  <c r="Q28" i="9"/>
  <c r="AB28" i="9"/>
  <c r="AC27" i="9"/>
  <c r="O22" i="9"/>
  <c r="O23" i="9" s="1"/>
  <c r="M23" i="9" s="1"/>
  <c r="P30" i="8"/>
  <c r="Q29" i="8"/>
  <c r="AD27" i="8"/>
  <c r="AE26" i="8"/>
  <c r="AB28" i="7"/>
  <c r="AC27" i="7"/>
  <c r="X28" i="13"/>
  <c r="Y27" i="13"/>
  <c r="X29" i="12"/>
  <c r="Y28" i="12"/>
  <c r="P29" i="12"/>
  <c r="Q28" i="12"/>
  <c r="AB28" i="12"/>
  <c r="AC27" i="12"/>
  <c r="AH27" i="12" s="1"/>
  <c r="O22" i="12"/>
  <c r="O23" i="12" s="1"/>
  <c r="M23" i="12" s="1"/>
  <c r="P29" i="11"/>
  <c r="Q28" i="11"/>
  <c r="AB28" i="11"/>
  <c r="AC27" i="11"/>
  <c r="AD28" i="11"/>
  <c r="AE27" i="11"/>
  <c r="X27" i="11"/>
  <c r="Y26" i="11"/>
  <c r="AH26" i="11" s="1"/>
  <c r="AD28" i="10"/>
  <c r="AE27" i="10"/>
  <c r="X26" i="10"/>
  <c r="Y25" i="10"/>
  <c r="AH25" i="10" s="1"/>
  <c r="AD28" i="9"/>
  <c r="AE27" i="9"/>
  <c r="O22" i="7"/>
  <c r="O23" i="7" s="1"/>
  <c r="M23" i="7" s="1"/>
  <c r="P29" i="7"/>
  <c r="Q28" i="7"/>
  <c r="AD28" i="7"/>
  <c r="AE27" i="7"/>
  <c r="X27" i="7"/>
  <c r="Y26" i="7"/>
  <c r="AH26" i="7" s="1"/>
  <c r="J19" i="4"/>
  <c r="J20" i="4" s="1"/>
  <c r="J18" i="4"/>
  <c r="J16" i="4"/>
  <c r="J15" i="4"/>
  <c r="J14" i="4"/>
  <c r="J13" i="4"/>
  <c r="J12" i="4"/>
  <c r="J5" i="4"/>
  <c r="AH26" i="8" l="1"/>
  <c r="S29" i="6"/>
  <c r="S26" i="6"/>
  <c r="AL26" i="11"/>
  <c r="AJ26" i="11"/>
  <c r="AK26" i="11" s="1"/>
  <c r="AL26" i="8"/>
  <c r="AJ26" i="8"/>
  <c r="AK26" i="8" s="1"/>
  <c r="AL26" i="7"/>
  <c r="AJ26" i="7"/>
  <c r="AK26" i="7" s="1"/>
  <c r="X28" i="7"/>
  <c r="Y27" i="7"/>
  <c r="AH27" i="7" s="1"/>
  <c r="AD29" i="7"/>
  <c r="AE28" i="7"/>
  <c r="P30" i="7"/>
  <c r="Q29" i="7"/>
  <c r="AD29" i="9"/>
  <c r="AE28" i="9"/>
  <c r="X27" i="10"/>
  <c r="Y26" i="10"/>
  <c r="AH26" i="10" s="1"/>
  <c r="AD29" i="10"/>
  <c r="AE28" i="10"/>
  <c r="X28" i="11"/>
  <c r="Y27" i="11"/>
  <c r="AH27" i="11" s="1"/>
  <c r="AD29" i="11"/>
  <c r="AE28" i="11"/>
  <c r="AB29" i="11"/>
  <c r="AC28" i="11"/>
  <c r="P30" i="11"/>
  <c r="Q29" i="11"/>
  <c r="AB29" i="12"/>
  <c r="AC28" i="12"/>
  <c r="P30" i="12"/>
  <c r="Q29" i="12"/>
  <c r="X30" i="12"/>
  <c r="Y29" i="12"/>
  <c r="X29" i="13"/>
  <c r="Y28" i="13"/>
  <c r="AB29" i="7"/>
  <c r="AC28" i="7"/>
  <c r="AD28" i="8"/>
  <c r="AE27" i="8"/>
  <c r="P31" i="8"/>
  <c r="Q30" i="8"/>
  <c r="AB29" i="9"/>
  <c r="AC28" i="9"/>
  <c r="AH28" i="9" s="1"/>
  <c r="P30" i="9"/>
  <c r="Q29" i="9"/>
  <c r="X30" i="9"/>
  <c r="Y29" i="9"/>
  <c r="AB28" i="8"/>
  <c r="AC27" i="8"/>
  <c r="AH27" i="8" s="1"/>
  <c r="X29" i="8"/>
  <c r="Y28" i="8"/>
  <c r="AB29" i="10"/>
  <c r="AC28" i="10"/>
  <c r="P30" i="10"/>
  <c r="Q29" i="10"/>
  <c r="AD29" i="12"/>
  <c r="AE28" i="12"/>
  <c r="AD28" i="13"/>
  <c r="AE27" i="13"/>
  <c r="AB28" i="13"/>
  <c r="AC27" i="13"/>
  <c r="AH27" i="13" s="1"/>
  <c r="P30" i="13"/>
  <c r="Q29" i="13"/>
  <c r="AL25" i="10"/>
  <c r="AJ25" i="10"/>
  <c r="AK25" i="10" s="1"/>
  <c r="AL27" i="12"/>
  <c r="AJ27" i="12"/>
  <c r="AK27" i="12" s="1"/>
  <c r="AH27" i="9"/>
  <c r="AH26" i="13"/>
  <c r="P39" i="4"/>
  <c r="F38" i="4"/>
  <c r="AH28" i="12" l="1"/>
  <c r="AL27" i="13"/>
  <c r="AJ27" i="13"/>
  <c r="AK27" i="13" s="1"/>
  <c r="AL27" i="8"/>
  <c r="AJ27" i="8"/>
  <c r="AK27" i="8" s="1"/>
  <c r="AL28" i="9"/>
  <c r="AJ28" i="9"/>
  <c r="AK28" i="9" s="1"/>
  <c r="AL27" i="11"/>
  <c r="AJ27" i="11"/>
  <c r="AK27" i="11" s="1"/>
  <c r="AL26" i="10"/>
  <c r="AJ26" i="10"/>
  <c r="AK26" i="10" s="1"/>
  <c r="AJ27" i="7"/>
  <c r="AK27" i="7" s="1"/>
  <c r="AL27" i="7"/>
  <c r="AL26" i="13"/>
  <c r="AJ26" i="13"/>
  <c r="AK26" i="13" s="1"/>
  <c r="AL28" i="12"/>
  <c r="AJ28" i="12"/>
  <c r="AK28" i="12" s="1"/>
  <c r="AL27" i="9"/>
  <c r="AJ27" i="9"/>
  <c r="AK27" i="9" s="1"/>
  <c r="P31" i="13"/>
  <c r="Q30" i="13"/>
  <c r="AB29" i="13"/>
  <c r="AC28" i="13"/>
  <c r="AD29" i="13"/>
  <c r="AE28" i="13"/>
  <c r="AD30" i="12"/>
  <c r="AE29" i="12"/>
  <c r="P31" i="10"/>
  <c r="Q30" i="10"/>
  <c r="AB30" i="10"/>
  <c r="AC29" i="10"/>
  <c r="X30" i="8"/>
  <c r="Y29" i="8"/>
  <c r="AB29" i="8"/>
  <c r="AC28" i="8"/>
  <c r="X31" i="9"/>
  <c r="Y30" i="9"/>
  <c r="P31" i="9"/>
  <c r="Q30" i="9"/>
  <c r="AB30" i="9"/>
  <c r="AC29" i="9"/>
  <c r="P32" i="8"/>
  <c r="Q31" i="8"/>
  <c r="AD29" i="8"/>
  <c r="AE28" i="8"/>
  <c r="AB30" i="7"/>
  <c r="AC29" i="7"/>
  <c r="X30" i="13"/>
  <c r="Y29" i="13"/>
  <c r="X31" i="12"/>
  <c r="Y30" i="12"/>
  <c r="P31" i="12"/>
  <c r="Q30" i="12"/>
  <c r="AB30" i="12"/>
  <c r="AC29" i="12"/>
  <c r="AH29" i="12" s="1"/>
  <c r="P31" i="11"/>
  <c r="Q30" i="11"/>
  <c r="AB30" i="11"/>
  <c r="AC29" i="11"/>
  <c r="AD30" i="11"/>
  <c r="AE29" i="11"/>
  <c r="X29" i="11"/>
  <c r="Y28" i="11"/>
  <c r="AH28" i="11" s="1"/>
  <c r="AD30" i="10"/>
  <c r="AE29" i="10"/>
  <c r="X28" i="10"/>
  <c r="Y27" i="10"/>
  <c r="AH27" i="10" s="1"/>
  <c r="AD30" i="9"/>
  <c r="AE29" i="9"/>
  <c r="P31" i="7"/>
  <c r="Q30" i="7"/>
  <c r="AD30" i="7"/>
  <c r="AE29" i="7"/>
  <c r="X29" i="7"/>
  <c r="Y28" i="7"/>
  <c r="AH28" i="7" s="1"/>
  <c r="L22" i="3"/>
  <c r="F22" i="3"/>
  <c r="L21" i="3"/>
  <c r="F21" i="3"/>
  <c r="L20" i="3"/>
  <c r="F20" i="3"/>
  <c r="R19" i="3"/>
  <c r="L19" i="3"/>
  <c r="F19" i="3"/>
  <c r="R18" i="3"/>
  <c r="L18" i="3"/>
  <c r="F18" i="3"/>
  <c r="R17" i="3"/>
  <c r="L17" i="3"/>
  <c r="F17" i="3"/>
  <c r="R16" i="3"/>
  <c r="L16" i="3"/>
  <c r="F16" i="3"/>
  <c r="R15" i="3"/>
  <c r="L15" i="3"/>
  <c r="F15" i="3"/>
  <c r="R14" i="3"/>
  <c r="L14" i="3"/>
  <c r="F14" i="3"/>
  <c r="R13" i="3"/>
  <c r="L13" i="3"/>
  <c r="F13" i="3"/>
  <c r="R12" i="3"/>
  <c r="L12" i="3"/>
  <c r="F12" i="3"/>
  <c r="R11" i="3"/>
  <c r="L11" i="3"/>
  <c r="F11" i="3"/>
  <c r="R10" i="3"/>
  <c r="L10" i="3"/>
  <c r="F10" i="3"/>
  <c r="R9" i="3"/>
  <c r="L9" i="3"/>
  <c r="F9" i="3"/>
  <c r="R8" i="3"/>
  <c r="L8" i="3"/>
  <c r="F8" i="3"/>
  <c r="R7" i="3"/>
  <c r="L7" i="3"/>
  <c r="F7" i="3"/>
  <c r="AA41" i="2"/>
  <c r="V41" i="2"/>
  <c r="W41" i="2" s="1"/>
  <c r="T41" i="2"/>
  <c r="U41" i="2" s="1"/>
  <c r="R41" i="2"/>
  <c r="S41" i="2" s="1"/>
  <c r="D41" i="2"/>
  <c r="AI41" i="2" s="1"/>
  <c r="AA40" i="2"/>
  <c r="V40" i="2"/>
  <c r="W40" i="2" s="1"/>
  <c r="T40" i="2"/>
  <c r="U40" i="2" s="1"/>
  <c r="R40" i="2"/>
  <c r="S40" i="2" s="1"/>
  <c r="D40" i="2"/>
  <c r="AF39" i="2"/>
  <c r="AG39" i="2" s="1"/>
  <c r="AA39" i="2"/>
  <c r="V39" i="2"/>
  <c r="W39" i="2" s="1"/>
  <c r="T39" i="2"/>
  <c r="U39" i="2" s="1"/>
  <c r="R39" i="2"/>
  <c r="S39" i="2" s="1"/>
  <c r="D39" i="2"/>
  <c r="AI39" i="2" s="1"/>
  <c r="AF38" i="2"/>
  <c r="AG38" i="2" s="1"/>
  <c r="AA38" i="2"/>
  <c r="V38" i="2"/>
  <c r="W38" i="2" s="1"/>
  <c r="T38" i="2"/>
  <c r="U38" i="2" s="1"/>
  <c r="R38" i="2"/>
  <c r="S38" i="2" s="1"/>
  <c r="D38" i="2"/>
  <c r="AF37" i="2"/>
  <c r="AG37" i="2" s="1"/>
  <c r="AA37" i="2"/>
  <c r="V37" i="2"/>
  <c r="W37" i="2" s="1"/>
  <c r="T37" i="2"/>
  <c r="U37" i="2" s="1"/>
  <c r="R37" i="2"/>
  <c r="S37" i="2" s="1"/>
  <c r="D37" i="2"/>
  <c r="AI37" i="2" s="1"/>
  <c r="AF36" i="2"/>
  <c r="AG36" i="2" s="1"/>
  <c r="AA36" i="2"/>
  <c r="V36" i="2"/>
  <c r="W36" i="2" s="1"/>
  <c r="T36" i="2"/>
  <c r="U36" i="2" s="1"/>
  <c r="R36" i="2"/>
  <c r="S36" i="2" s="1"/>
  <c r="D36" i="2"/>
  <c r="AF35" i="2"/>
  <c r="AG35" i="2" s="1"/>
  <c r="AA35" i="2"/>
  <c r="V35" i="2"/>
  <c r="W35" i="2" s="1"/>
  <c r="T35" i="2"/>
  <c r="U35" i="2" s="1"/>
  <c r="R35" i="2"/>
  <c r="S35" i="2" s="1"/>
  <c r="D35" i="2"/>
  <c r="AI35" i="2" s="1"/>
  <c r="AF34" i="2"/>
  <c r="AG34" i="2" s="1"/>
  <c r="AA34" i="2"/>
  <c r="V34" i="2"/>
  <c r="W34" i="2" s="1"/>
  <c r="T34" i="2"/>
  <c r="U34" i="2" s="1"/>
  <c r="R34" i="2"/>
  <c r="S34" i="2" s="1"/>
  <c r="D34" i="2"/>
  <c r="AF33" i="2"/>
  <c r="AG33" i="2" s="1"/>
  <c r="AA33" i="2"/>
  <c r="V33" i="2"/>
  <c r="W33" i="2" s="1"/>
  <c r="T33" i="2"/>
  <c r="U33" i="2" s="1"/>
  <c r="R33" i="2"/>
  <c r="S33" i="2" s="1"/>
  <c r="D33" i="2"/>
  <c r="AI33" i="2" s="1"/>
  <c r="AF32" i="2"/>
  <c r="AG32" i="2" s="1"/>
  <c r="AA32" i="2"/>
  <c r="V32" i="2"/>
  <c r="W32" i="2" s="1"/>
  <c r="T32" i="2"/>
  <c r="U32" i="2" s="1"/>
  <c r="R32" i="2"/>
  <c r="S32" i="2" s="1"/>
  <c r="D32" i="2"/>
  <c r="AI32" i="2" s="1"/>
  <c r="AA31" i="2"/>
  <c r="V31" i="2"/>
  <c r="W31" i="2" s="1"/>
  <c r="T31" i="2"/>
  <c r="U31" i="2" s="1"/>
  <c r="R31" i="2"/>
  <c r="S31" i="2" s="1"/>
  <c r="D31" i="2"/>
  <c r="AF30" i="2"/>
  <c r="AG30" i="2" s="1"/>
  <c r="AA30" i="2"/>
  <c r="V30" i="2"/>
  <c r="W30" i="2" s="1"/>
  <c r="T30" i="2"/>
  <c r="U30" i="2" s="1"/>
  <c r="R30" i="2"/>
  <c r="S30" i="2" s="1"/>
  <c r="D30" i="2"/>
  <c r="AI30" i="2" s="1"/>
  <c r="AF29" i="2"/>
  <c r="AG29" i="2" s="1"/>
  <c r="AA29" i="2"/>
  <c r="V29" i="2"/>
  <c r="W29" i="2" s="1"/>
  <c r="T29" i="2"/>
  <c r="U29" i="2" s="1"/>
  <c r="R29" i="2"/>
  <c r="S29" i="2" s="1"/>
  <c r="D29" i="2"/>
  <c r="AF28" i="2"/>
  <c r="AG28" i="2" s="1"/>
  <c r="AA28" i="2"/>
  <c r="V28" i="2"/>
  <c r="W28" i="2" s="1"/>
  <c r="T28" i="2"/>
  <c r="U28" i="2" s="1"/>
  <c r="R28" i="2"/>
  <c r="S28" i="2" s="1"/>
  <c r="P28" i="2"/>
  <c r="P29" i="2" s="1"/>
  <c r="D28" i="2"/>
  <c r="AI28" i="2" s="1"/>
  <c r="AF27" i="2"/>
  <c r="AG27" i="2" s="1"/>
  <c r="AA27" i="2"/>
  <c r="V27" i="2"/>
  <c r="W27" i="2" s="1"/>
  <c r="T27" i="2"/>
  <c r="U27" i="2" s="1"/>
  <c r="R27" i="2"/>
  <c r="S27" i="2" s="1"/>
  <c r="P27" i="2"/>
  <c r="Q27" i="2" s="1"/>
  <c r="D27" i="2"/>
  <c r="AF26" i="2"/>
  <c r="AG26" i="2" s="1"/>
  <c r="AD26" i="2"/>
  <c r="AE26" i="2" s="1"/>
  <c r="AB26" i="2"/>
  <c r="AB27" i="2" s="1"/>
  <c r="AB28" i="2" s="1"/>
  <c r="AA26" i="2"/>
  <c r="X26" i="2"/>
  <c r="X27" i="2" s="1"/>
  <c r="V26" i="2"/>
  <c r="W26" i="2" s="1"/>
  <c r="T26" i="2"/>
  <c r="U26" i="2" s="1"/>
  <c r="R26" i="2"/>
  <c r="S26" i="2" s="1"/>
  <c r="P26" i="2"/>
  <c r="Q26" i="2" s="1"/>
  <c r="D26" i="2"/>
  <c r="AI26" i="2" s="1"/>
  <c r="F23" i="2"/>
  <c r="M23" i="2" s="1"/>
  <c r="M22" i="2"/>
  <c r="M20" i="2"/>
  <c r="M19" i="2"/>
  <c r="F18" i="2"/>
  <c r="M18" i="2" s="1"/>
  <c r="F16" i="2"/>
  <c r="M16" i="2" s="1"/>
  <c r="F15" i="2"/>
  <c r="M15" i="2" s="1"/>
  <c r="I8" i="2"/>
  <c r="D7" i="2"/>
  <c r="D6" i="2"/>
  <c r="I5" i="2"/>
  <c r="E5" i="2"/>
  <c r="AF41" i="2"/>
  <c r="AG41" i="2" s="1"/>
  <c r="AF40" i="2"/>
  <c r="AG40" i="2" s="1"/>
  <c r="X31" i="1"/>
  <c r="AF31" i="2"/>
  <c r="AG31" i="2" s="1"/>
  <c r="X17" i="1"/>
  <c r="F17" i="2"/>
  <c r="M17" i="2" s="1"/>
  <c r="AH29" i="9" l="1"/>
  <c r="AH28" i="8"/>
  <c r="AJ28" i="8" s="1"/>
  <c r="AK28" i="8" s="1"/>
  <c r="AH28" i="13"/>
  <c r="F21" i="2"/>
  <c r="M21" i="2" s="1"/>
  <c r="X29" i="1"/>
  <c r="W41" i="1"/>
  <c r="M31" i="6" s="1"/>
  <c r="W37" i="1"/>
  <c r="J30" i="6" s="1"/>
  <c r="W39" i="1"/>
  <c r="M29" i="6" s="1"/>
  <c r="W36" i="1"/>
  <c r="W38" i="1"/>
  <c r="J31" i="6" s="1"/>
  <c r="W40" i="1"/>
  <c r="M30" i="6" s="1"/>
  <c r="AL29" i="12"/>
  <c r="AJ29" i="12"/>
  <c r="AK29" i="12" s="1"/>
  <c r="AL29" i="9"/>
  <c r="AJ29" i="9"/>
  <c r="AK29" i="9" s="1"/>
  <c r="AL28" i="8"/>
  <c r="AL28" i="13"/>
  <c r="AJ28" i="13"/>
  <c r="AK28" i="13" s="1"/>
  <c r="AL28" i="7"/>
  <c r="AJ28" i="7"/>
  <c r="AK28" i="7" s="1"/>
  <c r="AL27" i="10"/>
  <c r="AJ27" i="10"/>
  <c r="AK27" i="10" s="1"/>
  <c r="X30" i="7"/>
  <c r="Y29" i="7"/>
  <c r="AH29" i="7" s="1"/>
  <c r="AD31" i="7"/>
  <c r="AE30" i="7"/>
  <c r="Q31" i="7"/>
  <c r="P32" i="7"/>
  <c r="AD31" i="9"/>
  <c r="AE30" i="9"/>
  <c r="X29" i="10"/>
  <c r="Y28" i="10"/>
  <c r="AH28" i="10" s="1"/>
  <c r="AD31" i="10"/>
  <c r="AE30" i="10"/>
  <c r="X30" i="11"/>
  <c r="Y29" i="11"/>
  <c r="AH29" i="11" s="1"/>
  <c r="AD31" i="11"/>
  <c r="AE30" i="11"/>
  <c r="AB31" i="11"/>
  <c r="AC30" i="11"/>
  <c r="P32" i="11"/>
  <c r="Q31" i="11"/>
  <c r="AB31" i="12"/>
  <c r="AC30" i="12"/>
  <c r="P32" i="12"/>
  <c r="Q31" i="12"/>
  <c r="X32" i="12"/>
  <c r="Y31" i="12"/>
  <c r="X31" i="13"/>
  <c r="Y30" i="13"/>
  <c r="AB31" i="7"/>
  <c r="AC30" i="7"/>
  <c r="AD30" i="8"/>
  <c r="AE29" i="8"/>
  <c r="P33" i="8"/>
  <c r="Q32" i="8"/>
  <c r="AB31" i="9"/>
  <c r="AC30" i="9"/>
  <c r="AH30" i="9" s="1"/>
  <c r="P32" i="9"/>
  <c r="Q31" i="9"/>
  <c r="X32" i="9"/>
  <c r="Y31" i="9"/>
  <c r="AB30" i="8"/>
  <c r="AC29" i="8"/>
  <c r="AH29" i="8" s="1"/>
  <c r="X31" i="8"/>
  <c r="Y30" i="8"/>
  <c r="AB31" i="10"/>
  <c r="AC30" i="10"/>
  <c r="P32" i="10"/>
  <c r="Q31" i="10"/>
  <c r="AD31" i="12"/>
  <c r="AE30" i="12"/>
  <c r="AD30" i="13"/>
  <c r="AE29" i="13"/>
  <c r="AB30" i="13"/>
  <c r="AC29" i="13"/>
  <c r="AH29" i="13" s="1"/>
  <c r="P32" i="13"/>
  <c r="Q31" i="13"/>
  <c r="AL28" i="11"/>
  <c r="AJ28" i="11"/>
  <c r="AK28" i="11" s="1"/>
  <c r="AD27" i="2"/>
  <c r="AD28" i="2" s="1"/>
  <c r="AE28" i="2" s="1"/>
  <c r="AC26" i="2"/>
  <c r="AB29" i="2"/>
  <c r="AC28" i="2"/>
  <c r="P30" i="2"/>
  <c r="Q29" i="2"/>
  <c r="X28" i="2"/>
  <c r="Y27" i="2"/>
  <c r="AD29" i="2"/>
  <c r="X15" i="1"/>
  <c r="I7" i="2" s="1"/>
  <c r="Q25" i="1"/>
  <c r="W25" i="1" s="1"/>
  <c r="M26" i="6" s="1"/>
  <c r="Q26" i="1"/>
  <c r="W26" i="1" s="1"/>
  <c r="M27" i="6" s="1"/>
  <c r="Q27" i="1"/>
  <c r="W27" i="1" s="1"/>
  <c r="M28" i="6" s="1"/>
  <c r="I9" i="2"/>
  <c r="Y26" i="2"/>
  <c r="AC27" i="2"/>
  <c r="AI27" i="2"/>
  <c r="Q28" i="2"/>
  <c r="AI29" i="2"/>
  <c r="AI31" i="2"/>
  <c r="AI34" i="2"/>
  <c r="AI36" i="2"/>
  <c r="AI38" i="2"/>
  <c r="AI40" i="2"/>
  <c r="AH26" i="2" l="1"/>
  <c r="AH30" i="12"/>
  <c r="AL30" i="12" s="1"/>
  <c r="J29" i="6"/>
  <c r="Z36" i="1"/>
  <c r="Z40" i="1"/>
  <c r="Z37" i="1"/>
  <c r="P29" i="6"/>
  <c r="Z26" i="1"/>
  <c r="Z27" i="1"/>
  <c r="Z38" i="1"/>
  <c r="Z39" i="1"/>
  <c r="Z41" i="1"/>
  <c r="AL29" i="13"/>
  <c r="AJ29" i="13"/>
  <c r="AK29" i="13" s="1"/>
  <c r="AL29" i="8"/>
  <c r="AJ29" i="8"/>
  <c r="AK29" i="8" s="1"/>
  <c r="AL30" i="9"/>
  <c r="AJ30" i="9"/>
  <c r="AK30" i="9" s="1"/>
  <c r="AJ30" i="12"/>
  <c r="AK30" i="12" s="1"/>
  <c r="AL29" i="11"/>
  <c r="AJ29" i="11"/>
  <c r="AK29" i="11" s="1"/>
  <c r="AL29" i="7"/>
  <c r="AJ29" i="7"/>
  <c r="AK29" i="7" s="1"/>
  <c r="P33" i="13"/>
  <c r="Q32" i="13"/>
  <c r="AB31" i="13"/>
  <c r="AC30" i="13"/>
  <c r="AD31" i="13"/>
  <c r="AE30" i="13"/>
  <c r="AD32" i="12"/>
  <c r="AE31" i="12"/>
  <c r="P33" i="10"/>
  <c r="Q32" i="10"/>
  <c r="AB32" i="10"/>
  <c r="AC31" i="10"/>
  <c r="X32" i="8"/>
  <c r="Y31" i="8"/>
  <c r="AB31" i="8"/>
  <c r="AC30" i="8"/>
  <c r="Y32" i="9"/>
  <c r="X33" i="9"/>
  <c r="P33" i="9"/>
  <c r="Q32" i="9"/>
  <c r="AB32" i="9"/>
  <c r="AC31" i="9"/>
  <c r="AH31" i="9" s="1"/>
  <c r="P34" i="8"/>
  <c r="Q33" i="8"/>
  <c r="AD31" i="8"/>
  <c r="AE30" i="8"/>
  <c r="AB32" i="7"/>
  <c r="AC31" i="7"/>
  <c r="Y31" i="13"/>
  <c r="X32" i="13"/>
  <c r="X33" i="12"/>
  <c r="Y32" i="12"/>
  <c r="P33" i="12"/>
  <c r="Q32" i="12"/>
  <c r="AB32" i="12"/>
  <c r="AC31" i="12"/>
  <c r="AH31" i="12" s="1"/>
  <c r="P33" i="11"/>
  <c r="Q32" i="11"/>
  <c r="AB32" i="11"/>
  <c r="AC31" i="11"/>
  <c r="AD32" i="11"/>
  <c r="AE31" i="11"/>
  <c r="X31" i="11"/>
  <c r="Y30" i="11"/>
  <c r="AH30" i="11" s="1"/>
  <c r="AD32" i="10"/>
  <c r="AE31" i="10"/>
  <c r="X30" i="10"/>
  <c r="Y29" i="10"/>
  <c r="AH29" i="10" s="1"/>
  <c r="AD32" i="9"/>
  <c r="AE31" i="9"/>
  <c r="AD32" i="7"/>
  <c r="AE31" i="7"/>
  <c r="X31" i="7"/>
  <c r="Y30" i="7"/>
  <c r="AH30" i="7" s="1"/>
  <c r="AL28" i="10"/>
  <c r="AJ28" i="10"/>
  <c r="AK28" i="10" s="1"/>
  <c r="P33" i="7"/>
  <c r="Q32" i="7"/>
  <c r="Z25" i="1"/>
  <c r="AE27" i="2"/>
  <c r="AH27" i="2" s="1"/>
  <c r="AL27" i="2" s="1"/>
  <c r="Q22" i="1"/>
  <c r="W22" i="1" s="1"/>
  <c r="J26" i="6" s="1"/>
  <c r="AD30" i="2"/>
  <c r="AE29" i="2"/>
  <c r="X29" i="2"/>
  <c r="Y28" i="2"/>
  <c r="AH28" i="2" s="1"/>
  <c r="AL26" i="2"/>
  <c r="AJ26" i="2"/>
  <c r="AK26" i="2" s="1"/>
  <c r="Q24" i="1"/>
  <c r="W24" i="1" s="1"/>
  <c r="Q23" i="1"/>
  <c r="W23" i="1" s="1"/>
  <c r="P31" i="2"/>
  <c r="Q30" i="2"/>
  <c r="AB30" i="2"/>
  <c r="AC29" i="2"/>
  <c r="AH30" i="8" l="1"/>
  <c r="Z24" i="1"/>
  <c r="J28" i="6"/>
  <c r="Z23" i="1"/>
  <c r="J27" i="6"/>
  <c r="P26" i="6"/>
  <c r="Z22" i="1"/>
  <c r="AL31" i="12"/>
  <c r="AJ31" i="12"/>
  <c r="AK31" i="12" s="1"/>
  <c r="AL31" i="9"/>
  <c r="AJ31" i="9"/>
  <c r="AK31" i="9" s="1"/>
  <c r="X32" i="7"/>
  <c r="Y31" i="7"/>
  <c r="AH31" i="7" s="1"/>
  <c r="AD33" i="7"/>
  <c r="AE32" i="7"/>
  <c r="AL29" i="10"/>
  <c r="AJ29" i="10"/>
  <c r="AK29" i="10" s="1"/>
  <c r="AL30" i="11"/>
  <c r="AJ30" i="11"/>
  <c r="AK30" i="11" s="1"/>
  <c r="X33" i="13"/>
  <c r="Y32" i="13"/>
  <c r="X34" i="9"/>
  <c r="Y33" i="9"/>
  <c r="AH30" i="13"/>
  <c r="P34" i="7"/>
  <c r="Q33" i="7"/>
  <c r="AL30" i="8"/>
  <c r="AJ30" i="8"/>
  <c r="AK30" i="8" s="1"/>
  <c r="AL30" i="7"/>
  <c r="AJ30" i="7"/>
  <c r="AK30" i="7" s="1"/>
  <c r="AD33" i="9"/>
  <c r="AE32" i="9"/>
  <c r="X31" i="10"/>
  <c r="Y30" i="10"/>
  <c r="AH30" i="10" s="1"/>
  <c r="AD33" i="10"/>
  <c r="AE32" i="10"/>
  <c r="X32" i="11"/>
  <c r="Y31" i="11"/>
  <c r="AH31" i="11" s="1"/>
  <c r="AD33" i="11"/>
  <c r="AE32" i="11"/>
  <c r="AB33" i="11"/>
  <c r="AC32" i="11"/>
  <c r="P34" i="11"/>
  <c r="Q33" i="11"/>
  <c r="AB33" i="12"/>
  <c r="AC32" i="12"/>
  <c r="P34" i="12"/>
  <c r="Q33" i="12"/>
  <c r="X34" i="12"/>
  <c r="Y33" i="12"/>
  <c r="AB33" i="7"/>
  <c r="AC32" i="7"/>
  <c r="AD32" i="8"/>
  <c r="AE31" i="8"/>
  <c r="P35" i="8"/>
  <c r="Q34" i="8"/>
  <c r="AB33" i="9"/>
  <c r="AC32" i="9"/>
  <c r="AH32" i="9" s="1"/>
  <c r="P34" i="9"/>
  <c r="Q33" i="9"/>
  <c r="AB32" i="8"/>
  <c r="AC31" i="8"/>
  <c r="AH31" i="8" s="1"/>
  <c r="X33" i="8"/>
  <c r="Y32" i="8"/>
  <c r="AB33" i="10"/>
  <c r="AC32" i="10"/>
  <c r="P34" i="10"/>
  <c r="Q33" i="10"/>
  <c r="AD33" i="12"/>
  <c r="AE32" i="12"/>
  <c r="AD32" i="13"/>
  <c r="AE31" i="13"/>
  <c r="AB32" i="13"/>
  <c r="AC31" i="13"/>
  <c r="AH31" i="13" s="1"/>
  <c r="P34" i="13"/>
  <c r="Q33" i="13"/>
  <c r="F14" i="2"/>
  <c r="M14" i="2" s="1"/>
  <c r="M24" i="2" s="1"/>
  <c r="O24" i="2" s="1"/>
  <c r="O25" i="2" s="1"/>
  <c r="M25" i="2" s="1"/>
  <c r="AJ27" i="2"/>
  <c r="AK27" i="2" s="1"/>
  <c r="AL28" i="2"/>
  <c r="AJ28" i="2"/>
  <c r="AK28" i="2" s="1"/>
  <c r="AB31" i="2"/>
  <c r="AC30" i="2"/>
  <c r="P32" i="2"/>
  <c r="Q31" i="2"/>
  <c r="X30" i="2"/>
  <c r="Y29" i="2"/>
  <c r="AH29" i="2" s="1"/>
  <c r="AD31" i="2"/>
  <c r="AE30" i="2"/>
  <c r="AH32" i="12" l="1"/>
  <c r="AJ31" i="13"/>
  <c r="AK31" i="13" s="1"/>
  <c r="AL31" i="13"/>
  <c r="AL31" i="8"/>
  <c r="AJ31" i="8"/>
  <c r="AK31" i="8" s="1"/>
  <c r="AJ32" i="9"/>
  <c r="AK32" i="9" s="1"/>
  <c r="AL32" i="9"/>
  <c r="AL32" i="12"/>
  <c r="AJ32" i="12"/>
  <c r="AK32" i="12" s="1"/>
  <c r="AL31" i="11"/>
  <c r="AJ31" i="11"/>
  <c r="AK31" i="11" s="1"/>
  <c r="AL30" i="10"/>
  <c r="AJ30" i="10"/>
  <c r="AK30" i="10" s="1"/>
  <c r="AJ31" i="7"/>
  <c r="AK31" i="7" s="1"/>
  <c r="AL31" i="7"/>
  <c r="P35" i="13"/>
  <c r="Q34" i="13"/>
  <c r="AB33" i="13"/>
  <c r="AC32" i="13"/>
  <c r="AD33" i="13"/>
  <c r="AE32" i="13"/>
  <c r="AD34" i="12"/>
  <c r="AE33" i="12"/>
  <c r="P35" i="10"/>
  <c r="Q34" i="10"/>
  <c r="AB34" i="10"/>
  <c r="AC33" i="10"/>
  <c r="X34" i="8"/>
  <c r="Y33" i="8"/>
  <c r="AB33" i="8"/>
  <c r="AC32" i="8"/>
  <c r="P35" i="9"/>
  <c r="Q34" i="9"/>
  <c r="AB34" i="9"/>
  <c r="AC33" i="9"/>
  <c r="P36" i="8"/>
  <c r="Q35" i="8"/>
  <c r="AD33" i="8"/>
  <c r="AE32" i="8"/>
  <c r="AB34" i="7"/>
  <c r="AC33" i="7"/>
  <c r="X35" i="12"/>
  <c r="Y34" i="12"/>
  <c r="P35" i="12"/>
  <c r="Q34" i="12"/>
  <c r="AB34" i="12"/>
  <c r="AC33" i="12"/>
  <c r="AH33" i="12" s="1"/>
  <c r="P35" i="11"/>
  <c r="Q34" i="11"/>
  <c r="AB34" i="11"/>
  <c r="AC33" i="11"/>
  <c r="AD34" i="11"/>
  <c r="AE33" i="11"/>
  <c r="X33" i="11"/>
  <c r="Y32" i="11"/>
  <c r="AH32" i="11" s="1"/>
  <c r="AD34" i="10"/>
  <c r="AE33" i="10"/>
  <c r="X32" i="10"/>
  <c r="Y31" i="10"/>
  <c r="AH31" i="10" s="1"/>
  <c r="AD34" i="9"/>
  <c r="AE33" i="9"/>
  <c r="P35" i="7"/>
  <c r="Q34" i="7"/>
  <c r="AL30" i="13"/>
  <c r="AJ30" i="13"/>
  <c r="AK30" i="13" s="1"/>
  <c r="X35" i="9"/>
  <c r="Y34" i="9"/>
  <c r="X34" i="13"/>
  <c r="Y33" i="13"/>
  <c r="AD34" i="7"/>
  <c r="AE33" i="7"/>
  <c r="X33" i="7"/>
  <c r="Y32" i="7"/>
  <c r="AH32" i="7" s="1"/>
  <c r="AL29" i="2"/>
  <c r="AJ29" i="2"/>
  <c r="AK29" i="2" s="1"/>
  <c r="AD32" i="2"/>
  <c r="AE31" i="2"/>
  <c r="X31" i="2"/>
  <c r="Y30" i="2"/>
  <c r="AH30" i="2" s="1"/>
  <c r="P33" i="2"/>
  <c r="Q32" i="2"/>
  <c r="AB32" i="2"/>
  <c r="AC31" i="2"/>
  <c r="AH33" i="9" l="1"/>
  <c r="AH32" i="8"/>
  <c r="AL32" i="8" s="1"/>
  <c r="AL33" i="12"/>
  <c r="AJ33" i="12"/>
  <c r="AK33" i="12" s="1"/>
  <c r="AJ32" i="8"/>
  <c r="AK32" i="8" s="1"/>
  <c r="AL33" i="9"/>
  <c r="AJ33" i="9"/>
  <c r="AK33" i="9" s="1"/>
  <c r="AL32" i="7"/>
  <c r="AJ32" i="7"/>
  <c r="AK32" i="7" s="1"/>
  <c r="AL32" i="11"/>
  <c r="AJ32" i="11"/>
  <c r="AK32" i="11" s="1"/>
  <c r="AH32" i="13"/>
  <c r="AL31" i="10"/>
  <c r="AJ31" i="10"/>
  <c r="AK31" i="10" s="1"/>
  <c r="Y33" i="7"/>
  <c r="AH33" i="7" s="1"/>
  <c r="X34" i="7"/>
  <c r="AD35" i="7"/>
  <c r="AE34" i="7"/>
  <c r="X35" i="13"/>
  <c r="Y34" i="13"/>
  <c r="X36" i="9"/>
  <c r="Y35" i="9"/>
  <c r="P36" i="7"/>
  <c r="Q35" i="7"/>
  <c r="AD35" i="9"/>
  <c r="AE34" i="9"/>
  <c r="X33" i="10"/>
  <c r="Y32" i="10"/>
  <c r="AH32" i="10" s="1"/>
  <c r="AD35" i="10"/>
  <c r="AE34" i="10"/>
  <c r="X34" i="11"/>
  <c r="Y33" i="11"/>
  <c r="AH33" i="11" s="1"/>
  <c r="AE34" i="11"/>
  <c r="AD35" i="11"/>
  <c r="AB35" i="11"/>
  <c r="AC34" i="11"/>
  <c r="P36" i="11"/>
  <c r="Q35" i="11"/>
  <c r="AB35" i="12"/>
  <c r="AC34" i="12"/>
  <c r="P36" i="12"/>
  <c r="Q35" i="12"/>
  <c r="X36" i="12"/>
  <c r="Y35" i="12"/>
  <c r="AB35" i="7"/>
  <c r="AC34" i="7"/>
  <c r="AD34" i="8"/>
  <c r="AE33" i="8"/>
  <c r="P37" i="8"/>
  <c r="Q36" i="8"/>
  <c r="AB35" i="9"/>
  <c r="AC34" i="9"/>
  <c r="AH34" i="9" s="1"/>
  <c r="P36" i="9"/>
  <c r="Q35" i="9"/>
  <c r="AB34" i="8"/>
  <c r="AC33" i="8"/>
  <c r="AH33" i="8" s="1"/>
  <c r="X35" i="8"/>
  <c r="Y34" i="8"/>
  <c r="AB35" i="10"/>
  <c r="AC34" i="10"/>
  <c r="P36" i="10"/>
  <c r="Q35" i="10"/>
  <c r="AD35" i="12"/>
  <c r="AE34" i="12"/>
  <c r="AD34" i="13"/>
  <c r="AE33" i="13"/>
  <c r="AB34" i="13"/>
  <c r="AC33" i="13"/>
  <c r="AH33" i="13" s="1"/>
  <c r="P36" i="13"/>
  <c r="Q35" i="13"/>
  <c r="AL30" i="2"/>
  <c r="AJ30" i="2"/>
  <c r="AK30" i="2" s="1"/>
  <c r="AB33" i="2"/>
  <c r="AC32" i="2"/>
  <c r="P34" i="2"/>
  <c r="Q33" i="2"/>
  <c r="X32" i="2"/>
  <c r="Y31" i="2"/>
  <c r="AH31" i="2" s="1"/>
  <c r="AD33" i="2"/>
  <c r="AE32" i="2"/>
  <c r="AH34" i="12" l="1"/>
  <c r="AL34" i="12" s="1"/>
  <c r="AL33" i="8"/>
  <c r="AJ33" i="8"/>
  <c r="AK33" i="8" s="1"/>
  <c r="AJ34" i="12"/>
  <c r="AK34" i="12" s="1"/>
  <c r="AL33" i="13"/>
  <c r="AJ33" i="13"/>
  <c r="AK33" i="13" s="1"/>
  <c r="AL34" i="9"/>
  <c r="AJ34" i="9"/>
  <c r="AK34" i="9" s="1"/>
  <c r="AD36" i="11"/>
  <c r="AE35" i="11"/>
  <c r="AL33" i="11"/>
  <c r="AJ33" i="11"/>
  <c r="AK33" i="11" s="1"/>
  <c r="AL32" i="10"/>
  <c r="AJ32" i="10"/>
  <c r="AK32" i="10" s="1"/>
  <c r="X35" i="7"/>
  <c r="Y34" i="7"/>
  <c r="AH34" i="7" s="1"/>
  <c r="AL32" i="13"/>
  <c r="AJ32" i="13"/>
  <c r="AK32" i="13" s="1"/>
  <c r="P37" i="13"/>
  <c r="Q36" i="13"/>
  <c r="AB35" i="13"/>
  <c r="AC34" i="13"/>
  <c r="AD35" i="13"/>
  <c r="AE34" i="13"/>
  <c r="AD36" i="12"/>
  <c r="AE35" i="12"/>
  <c r="P37" i="10"/>
  <c r="Q36" i="10"/>
  <c r="AB36" i="10"/>
  <c r="AC35" i="10"/>
  <c r="X36" i="8"/>
  <c r="Y35" i="8"/>
  <c r="AB35" i="8"/>
  <c r="AC34" i="8"/>
  <c r="P37" i="9"/>
  <c r="Q36" i="9"/>
  <c r="AB36" i="9"/>
  <c r="AC35" i="9"/>
  <c r="P38" i="8"/>
  <c r="Q37" i="8"/>
  <c r="AD35" i="8"/>
  <c r="AE34" i="8"/>
  <c r="AB36" i="7"/>
  <c r="AC35" i="7"/>
  <c r="X37" i="12"/>
  <c r="Y36" i="12"/>
  <c r="P37" i="12"/>
  <c r="Q36" i="12"/>
  <c r="AB36" i="12"/>
  <c r="AC35" i="12"/>
  <c r="AH35" i="12" s="1"/>
  <c r="P37" i="11"/>
  <c r="Q36" i="11"/>
  <c r="AB36" i="11"/>
  <c r="AC35" i="11"/>
  <c r="X35" i="11"/>
  <c r="Y34" i="11"/>
  <c r="AH34" i="11" s="1"/>
  <c r="AD36" i="10"/>
  <c r="AE35" i="10"/>
  <c r="X34" i="10"/>
  <c r="Y33" i="10"/>
  <c r="AH33" i="10" s="1"/>
  <c r="AD36" i="9"/>
  <c r="AE35" i="9"/>
  <c r="P37" i="7"/>
  <c r="Q36" i="7"/>
  <c r="Y36" i="9"/>
  <c r="X37" i="9"/>
  <c r="X36" i="13"/>
  <c r="Y35" i="13"/>
  <c r="AD36" i="7"/>
  <c r="AE35" i="7"/>
  <c r="AJ33" i="7"/>
  <c r="AK33" i="7" s="1"/>
  <c r="AL33" i="7"/>
  <c r="AL31" i="2"/>
  <c r="AJ31" i="2"/>
  <c r="AK31" i="2" s="1"/>
  <c r="AD34" i="2"/>
  <c r="AE33" i="2"/>
  <c r="X33" i="2"/>
  <c r="Y32" i="2"/>
  <c r="AH32" i="2" s="1"/>
  <c r="P35" i="2"/>
  <c r="Q34" i="2"/>
  <c r="AB34" i="2"/>
  <c r="AC33" i="2"/>
  <c r="AH35" i="9" l="1"/>
  <c r="AH34" i="8"/>
  <c r="AJ34" i="8" s="1"/>
  <c r="AK34" i="8" s="1"/>
  <c r="AH34" i="13"/>
  <c r="AL35" i="12"/>
  <c r="AJ35" i="12"/>
  <c r="AK35" i="12" s="1"/>
  <c r="AL35" i="9"/>
  <c r="AJ35" i="9"/>
  <c r="AK35" i="9" s="1"/>
  <c r="AL34" i="13"/>
  <c r="AJ34" i="13"/>
  <c r="AK34" i="13" s="1"/>
  <c r="AL34" i="8"/>
  <c r="X38" i="9"/>
  <c r="Y37" i="9"/>
  <c r="AL34" i="11"/>
  <c r="AJ34" i="11"/>
  <c r="AK34" i="11" s="1"/>
  <c r="AD37" i="7"/>
  <c r="AE36" i="7"/>
  <c r="X37" i="13"/>
  <c r="Y36" i="13"/>
  <c r="P38" i="7"/>
  <c r="Q37" i="7"/>
  <c r="AD37" i="9"/>
  <c r="AE36" i="9"/>
  <c r="X35" i="10"/>
  <c r="Y34" i="10"/>
  <c r="AH34" i="10" s="1"/>
  <c r="AD37" i="10"/>
  <c r="AE36" i="10"/>
  <c r="Y35" i="11"/>
  <c r="AH35" i="11" s="1"/>
  <c r="X36" i="11"/>
  <c r="AB37" i="11"/>
  <c r="AC36" i="11"/>
  <c r="P38" i="11"/>
  <c r="Q37" i="11"/>
  <c r="AB37" i="12"/>
  <c r="AC36" i="12"/>
  <c r="P38" i="12"/>
  <c r="Q37" i="12"/>
  <c r="X38" i="12"/>
  <c r="Y37" i="12"/>
  <c r="AB37" i="7"/>
  <c r="AC36" i="7"/>
  <c r="AD36" i="8"/>
  <c r="AE35" i="8"/>
  <c r="P39" i="8"/>
  <c r="Q39" i="8" s="1"/>
  <c r="Q38" i="8"/>
  <c r="AB37" i="9"/>
  <c r="AC36" i="9"/>
  <c r="AH36" i="9" s="1"/>
  <c r="P38" i="9"/>
  <c r="Q37" i="9"/>
  <c r="AB36" i="8"/>
  <c r="AC35" i="8"/>
  <c r="AH35" i="8" s="1"/>
  <c r="X37" i="8"/>
  <c r="Y36" i="8"/>
  <c r="AB37" i="10"/>
  <c r="AC36" i="10"/>
  <c r="P38" i="10"/>
  <c r="Q37" i="10"/>
  <c r="AD37" i="12"/>
  <c r="AE36" i="12"/>
  <c r="AD36" i="13"/>
  <c r="AE35" i="13"/>
  <c r="AB36" i="13"/>
  <c r="AC35" i="13"/>
  <c r="AH35" i="13" s="1"/>
  <c r="P38" i="13"/>
  <c r="Q37" i="13"/>
  <c r="X36" i="7"/>
  <c r="Y35" i="7"/>
  <c r="AH35" i="7" s="1"/>
  <c r="AL33" i="10"/>
  <c r="AJ33" i="10"/>
  <c r="AK33" i="10" s="1"/>
  <c r="AL34" i="7"/>
  <c r="AJ34" i="7"/>
  <c r="AK34" i="7" s="1"/>
  <c r="AD37" i="11"/>
  <c r="AE36" i="11"/>
  <c r="AB35" i="2"/>
  <c r="AC34" i="2"/>
  <c r="P36" i="2"/>
  <c r="Q35" i="2"/>
  <c r="X34" i="2"/>
  <c r="Y33" i="2"/>
  <c r="AH33" i="2" s="1"/>
  <c r="AD35" i="2"/>
  <c r="AE34" i="2"/>
  <c r="AJ32" i="2"/>
  <c r="AK32" i="2" s="1"/>
  <c r="AL32" i="2"/>
  <c r="AH36" i="12" l="1"/>
  <c r="AJ36" i="9"/>
  <c r="AK36" i="9" s="1"/>
  <c r="AL36" i="9"/>
  <c r="AL36" i="12"/>
  <c r="AJ36" i="12"/>
  <c r="AK36" i="12" s="1"/>
  <c r="AL35" i="13"/>
  <c r="AJ35" i="13"/>
  <c r="AK35" i="13" s="1"/>
  <c r="AL35" i="7"/>
  <c r="AJ35" i="7"/>
  <c r="AK35" i="7" s="1"/>
  <c r="AD38" i="11"/>
  <c r="AE37" i="11"/>
  <c r="X37" i="7"/>
  <c r="Y36" i="7"/>
  <c r="AH36" i="7" s="1"/>
  <c r="P39" i="13"/>
  <c r="Q39" i="13" s="1"/>
  <c r="Q38" i="13"/>
  <c r="AB37" i="13"/>
  <c r="AC36" i="13"/>
  <c r="AD37" i="13"/>
  <c r="AE36" i="13"/>
  <c r="AD38" i="12"/>
  <c r="AE37" i="12"/>
  <c r="P39" i="10"/>
  <c r="Q39" i="10" s="1"/>
  <c r="Q38" i="10"/>
  <c r="AB38" i="10"/>
  <c r="AC37" i="10"/>
  <c r="X38" i="8"/>
  <c r="Y37" i="8"/>
  <c r="AB37" i="8"/>
  <c r="AC36" i="8"/>
  <c r="P39" i="9"/>
  <c r="Q39" i="9" s="1"/>
  <c r="Q38" i="9"/>
  <c r="AB38" i="9"/>
  <c r="AC37" i="9"/>
  <c r="AD37" i="8"/>
  <c r="AE36" i="8"/>
  <c r="AH36" i="8" s="1"/>
  <c r="AB38" i="7"/>
  <c r="AC37" i="7"/>
  <c r="X39" i="12"/>
  <c r="Y39" i="12" s="1"/>
  <c r="Y38" i="12"/>
  <c r="P39" i="12"/>
  <c r="Q39" i="12" s="1"/>
  <c r="Q38" i="12"/>
  <c r="AB38" i="12"/>
  <c r="AC37" i="12"/>
  <c r="AH37" i="12" s="1"/>
  <c r="P39" i="11"/>
  <c r="Q39" i="11" s="1"/>
  <c r="Q38" i="11"/>
  <c r="AB38" i="11"/>
  <c r="AC37" i="11"/>
  <c r="AJ35" i="11"/>
  <c r="AK35" i="11" s="1"/>
  <c r="AL35" i="11"/>
  <c r="AD38" i="10"/>
  <c r="AE37" i="10"/>
  <c r="X36" i="10"/>
  <c r="Y35" i="10"/>
  <c r="AH35" i="10" s="1"/>
  <c r="AD38" i="9"/>
  <c r="AE37" i="9"/>
  <c r="P39" i="7"/>
  <c r="Q39" i="7" s="1"/>
  <c r="Q38" i="7"/>
  <c r="X38" i="13"/>
  <c r="Y37" i="13"/>
  <c r="AD38" i="7"/>
  <c r="AE37" i="7"/>
  <c r="X39" i="9"/>
  <c r="Y39" i="9" s="1"/>
  <c r="Y38" i="9"/>
  <c r="AL35" i="8"/>
  <c r="AJ35" i="8"/>
  <c r="AK35" i="8" s="1"/>
  <c r="AH37" i="9"/>
  <c r="X37" i="11"/>
  <c r="Y36" i="11"/>
  <c r="AH36" i="11" s="1"/>
  <c r="AL34" i="10"/>
  <c r="AJ34" i="10"/>
  <c r="AK34" i="10" s="1"/>
  <c r="AL33" i="2"/>
  <c r="AJ33" i="2"/>
  <c r="AK33" i="2" s="1"/>
  <c r="AD36" i="2"/>
  <c r="AE35" i="2"/>
  <c r="X35" i="2"/>
  <c r="Y34" i="2"/>
  <c r="AH34" i="2" s="1"/>
  <c r="P37" i="2"/>
  <c r="Q36" i="2"/>
  <c r="AB36" i="2"/>
  <c r="AC35" i="2"/>
  <c r="AL36" i="11" l="1"/>
  <c r="AJ36" i="11"/>
  <c r="AK36" i="11" s="1"/>
  <c r="AL36" i="8"/>
  <c r="AJ36" i="8"/>
  <c r="AK36" i="8" s="1"/>
  <c r="AD39" i="7"/>
  <c r="AE39" i="7" s="1"/>
  <c r="AE38" i="7"/>
  <c r="X39" i="13"/>
  <c r="Y39" i="13" s="1"/>
  <c r="Y38" i="13"/>
  <c r="AD39" i="9"/>
  <c r="AE39" i="9" s="1"/>
  <c r="AE38" i="9"/>
  <c r="X37" i="10"/>
  <c r="Y36" i="10"/>
  <c r="AH36" i="10" s="1"/>
  <c r="AD39" i="10"/>
  <c r="AE39" i="10" s="1"/>
  <c r="AE38" i="10"/>
  <c r="AB39" i="11"/>
  <c r="AC39" i="11" s="1"/>
  <c r="AC38" i="11"/>
  <c r="AB39" i="12"/>
  <c r="AC39" i="12" s="1"/>
  <c r="AC38" i="12"/>
  <c r="AB39" i="7"/>
  <c r="AC39" i="7" s="1"/>
  <c r="AC38" i="7"/>
  <c r="AD38" i="8"/>
  <c r="AE37" i="8"/>
  <c r="AH36" i="13"/>
  <c r="AL36" i="7"/>
  <c r="AJ36" i="7"/>
  <c r="AK36" i="7" s="1"/>
  <c r="X38" i="11"/>
  <c r="Y37" i="11"/>
  <c r="AH37" i="11" s="1"/>
  <c r="AL37" i="12"/>
  <c r="AJ37" i="12"/>
  <c r="AK37" i="12" s="1"/>
  <c r="AL37" i="9"/>
  <c r="AJ37" i="9"/>
  <c r="AK37" i="9" s="1"/>
  <c r="AL35" i="10"/>
  <c r="AJ35" i="10"/>
  <c r="AK35" i="10" s="1"/>
  <c r="AB39" i="9"/>
  <c r="AC39" i="9" s="1"/>
  <c r="AC38" i="9"/>
  <c r="AH39" i="9"/>
  <c r="AB38" i="8"/>
  <c r="AC37" i="8"/>
  <c r="AH37" i="8" s="1"/>
  <c r="X39" i="8"/>
  <c r="Y39" i="8" s="1"/>
  <c r="Y38" i="8"/>
  <c r="AB39" i="10"/>
  <c r="AC39" i="10" s="1"/>
  <c r="AC38" i="10"/>
  <c r="AD39" i="12"/>
  <c r="AE39" i="12" s="1"/>
  <c r="AH39" i="12" s="1"/>
  <c r="AE38" i="12"/>
  <c r="AH38" i="12" s="1"/>
  <c r="AD38" i="13"/>
  <c r="AE37" i="13"/>
  <c r="AB38" i="13"/>
  <c r="AC37" i="13"/>
  <c r="AH37" i="13" s="1"/>
  <c r="Y37" i="7"/>
  <c r="AH37" i="7" s="1"/>
  <c r="X38" i="7"/>
  <c r="AD39" i="11"/>
  <c r="AE39" i="11" s="1"/>
  <c r="AE38" i="11"/>
  <c r="AB37" i="2"/>
  <c r="AC36" i="2"/>
  <c r="P38" i="2"/>
  <c r="Q37" i="2"/>
  <c r="X36" i="2"/>
  <c r="Y35" i="2"/>
  <c r="AH35" i="2" s="1"/>
  <c r="AD37" i="2"/>
  <c r="AE36" i="2"/>
  <c r="AL34" i="2"/>
  <c r="AJ34" i="2"/>
  <c r="AK34" i="2" s="1"/>
  <c r="AH38" i="9" l="1"/>
  <c r="AL38" i="12"/>
  <c r="AJ38" i="12"/>
  <c r="AK38" i="12" s="1"/>
  <c r="AL37" i="8"/>
  <c r="AJ37" i="8"/>
  <c r="AK37" i="8" s="1"/>
  <c r="AL39" i="12"/>
  <c r="AJ39" i="12"/>
  <c r="AK39" i="12" s="1"/>
  <c r="AL38" i="9"/>
  <c r="AJ38" i="9"/>
  <c r="AK38" i="9" s="1"/>
  <c r="AJ37" i="7"/>
  <c r="AK37" i="7" s="1"/>
  <c r="AL37" i="7"/>
  <c r="X39" i="7"/>
  <c r="Y39" i="7" s="1"/>
  <c r="AH39" i="7" s="1"/>
  <c r="Y38" i="7"/>
  <c r="AH38" i="7" s="1"/>
  <c r="AB39" i="13"/>
  <c r="AC39" i="13" s="1"/>
  <c r="AC38" i="13"/>
  <c r="AD39" i="13"/>
  <c r="AE39" i="13" s="1"/>
  <c r="AE38" i="13"/>
  <c r="AL39" i="9"/>
  <c r="AJ39" i="9"/>
  <c r="AK39" i="9" s="1"/>
  <c r="AL37" i="11"/>
  <c r="AJ37" i="11"/>
  <c r="AK37" i="11" s="1"/>
  <c r="AD39" i="8"/>
  <c r="AE39" i="8" s="1"/>
  <c r="AE38" i="8"/>
  <c r="X38" i="10"/>
  <c r="Y37" i="10"/>
  <c r="AH37" i="10" s="1"/>
  <c r="AL37" i="13"/>
  <c r="AJ37" i="13"/>
  <c r="AK37" i="13" s="1"/>
  <c r="AB39" i="8"/>
  <c r="AC39" i="8" s="1"/>
  <c r="AH39" i="8" s="1"/>
  <c r="AC38" i="8"/>
  <c r="AH38" i="8" s="1"/>
  <c r="X39" i="11"/>
  <c r="Y39" i="11" s="1"/>
  <c r="AH39" i="11" s="1"/>
  <c r="Y38" i="11"/>
  <c r="AH38" i="11" s="1"/>
  <c r="AL36" i="13"/>
  <c r="AJ36" i="13"/>
  <c r="AK36" i="13" s="1"/>
  <c r="AL36" i="10"/>
  <c r="AJ36" i="10"/>
  <c r="AK36" i="10" s="1"/>
  <c r="AL35" i="2"/>
  <c r="AJ35" i="2"/>
  <c r="AK35" i="2" s="1"/>
  <c r="AD38" i="2"/>
  <c r="AE37" i="2"/>
  <c r="X37" i="2"/>
  <c r="Y36" i="2"/>
  <c r="AH36" i="2" s="1"/>
  <c r="P39" i="2"/>
  <c r="Q38" i="2"/>
  <c r="AB38" i="2"/>
  <c r="AC37" i="2"/>
  <c r="AL38" i="8" l="1"/>
  <c r="AJ38" i="8"/>
  <c r="AK38" i="8" s="1"/>
  <c r="AL39" i="8"/>
  <c r="AJ39" i="8"/>
  <c r="AK39" i="8" s="1"/>
  <c r="AL38" i="11"/>
  <c r="AJ38" i="11"/>
  <c r="AK38" i="11" s="1"/>
  <c r="X39" i="10"/>
  <c r="Y39" i="10" s="1"/>
  <c r="AH39" i="10" s="1"/>
  <c r="Y38" i="10"/>
  <c r="AH38" i="10" s="1"/>
  <c r="AH38" i="13"/>
  <c r="AL38" i="7"/>
  <c r="AJ38" i="7"/>
  <c r="AK38" i="7" s="1"/>
  <c r="AJ39" i="11"/>
  <c r="AK39" i="11" s="1"/>
  <c r="AL39" i="11"/>
  <c r="AL37" i="10"/>
  <c r="AJ37" i="10"/>
  <c r="AK37" i="10" s="1"/>
  <c r="AH39" i="13"/>
  <c r="AL39" i="7"/>
  <c r="AJ39" i="7"/>
  <c r="AK39" i="7" s="1"/>
  <c r="AB39" i="2"/>
  <c r="AC38" i="2"/>
  <c r="P40" i="2"/>
  <c r="Q39" i="2"/>
  <c r="X38" i="2"/>
  <c r="Y37" i="2"/>
  <c r="AH37" i="2" s="1"/>
  <c r="AD39" i="2"/>
  <c r="AE38" i="2"/>
  <c r="AL36" i="2"/>
  <c r="AJ36" i="2"/>
  <c r="AK36" i="2" s="1"/>
  <c r="AL39" i="13" l="1"/>
  <c r="AJ39" i="13"/>
  <c r="AK39" i="13" s="1"/>
  <c r="AL38" i="10"/>
  <c r="AJ38" i="10"/>
  <c r="AK38" i="10" s="1"/>
  <c r="AL38" i="13"/>
  <c r="AJ38" i="13"/>
  <c r="AK38" i="13" s="1"/>
  <c r="AL39" i="10"/>
  <c r="AJ39" i="10"/>
  <c r="AK39" i="10" s="1"/>
  <c r="AL37" i="2"/>
  <c r="AJ37" i="2"/>
  <c r="AK37" i="2" s="1"/>
  <c r="AD40" i="2"/>
  <c r="AE39" i="2"/>
  <c r="X39" i="2"/>
  <c r="Y38" i="2"/>
  <c r="AH38" i="2" s="1"/>
  <c r="P41" i="2"/>
  <c r="Q41" i="2" s="1"/>
  <c r="Q40" i="2"/>
  <c r="AB40" i="2"/>
  <c r="AC39" i="2"/>
  <c r="AB41" i="2" l="1"/>
  <c r="AC41" i="2" s="1"/>
  <c r="AC40" i="2"/>
  <c r="X40" i="2"/>
  <c r="Y39" i="2"/>
  <c r="AH39" i="2" s="1"/>
  <c r="AD41" i="2"/>
  <c r="AE41" i="2" s="1"/>
  <c r="AE40" i="2"/>
  <c r="AL38" i="2"/>
  <c r="AJ38" i="2"/>
  <c r="AK38" i="2" s="1"/>
  <c r="AL39" i="2" l="1"/>
  <c r="AJ39" i="2"/>
  <c r="AK39" i="2" s="1"/>
  <c r="X41" i="2"/>
  <c r="Y41" i="2" s="1"/>
  <c r="AH41" i="2" s="1"/>
  <c r="Y40" i="2"/>
  <c r="AH40" i="2" s="1"/>
  <c r="AL40" i="2" l="1"/>
  <c r="AJ40" i="2"/>
  <c r="AK40" i="2" s="1"/>
  <c r="AL41" i="2"/>
  <c r="AJ41" i="2"/>
  <c r="AK41" i="2" s="1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N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7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Plain Ring Gauge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P7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R7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<sst xmlns="http://schemas.openxmlformats.org/spreadsheetml/2006/main" count="1126" uniqueCount="227">
  <si>
    <t>SP METROLOGY SYSTEM THAILAND</t>
  </si>
  <si>
    <t>Certificate No. :</t>
  </si>
  <si>
    <t>Receive Date :</t>
  </si>
  <si>
    <t>Calibration Date :</t>
  </si>
  <si>
    <t>In Lab</t>
  </si>
  <si>
    <t>Temp &amp; Humiduty :</t>
  </si>
  <si>
    <t>%RH</t>
  </si>
  <si>
    <t>On Site</t>
  </si>
  <si>
    <t>Customer Name :</t>
  </si>
  <si>
    <t>Manufacturer :</t>
  </si>
  <si>
    <t>Model :</t>
  </si>
  <si>
    <t>Serial No. :</t>
  </si>
  <si>
    <t>ID No :</t>
  </si>
  <si>
    <t>Referance Standard :</t>
  </si>
  <si>
    <t>Due Date :</t>
  </si>
  <si>
    <t>1. Measurement Results</t>
  </si>
  <si>
    <t>Description :</t>
  </si>
  <si>
    <t>M</t>
  </si>
  <si>
    <t>x</t>
  </si>
  <si>
    <t>P</t>
  </si>
  <si>
    <t xml:space="preserve"> GPII</t>
  </si>
  <si>
    <t>Pitch Diameter [E]</t>
  </si>
  <si>
    <t>mm</t>
  </si>
  <si>
    <t>Thread angle:</t>
  </si>
  <si>
    <t>2-Ball Stylus (dD)</t>
  </si>
  <si>
    <t>2 Ball Stylus of SP</t>
  </si>
  <si>
    <t>Slope:</t>
  </si>
  <si>
    <t>Best Dimeter (do)</t>
  </si>
  <si>
    <r>
      <rPr>
        <sz val="20"/>
        <color theme="3"/>
        <rFont val="Angsana New"/>
        <family val="1"/>
      </rPr>
      <t>d</t>
    </r>
    <r>
      <rPr>
        <sz val="16"/>
        <color theme="3"/>
        <rFont val="Angsana New"/>
        <family val="1"/>
      </rPr>
      <t>๐ = (P/2)(1/COS(</t>
    </r>
    <r>
      <rPr>
        <sz val="16"/>
        <color theme="3"/>
        <rFont val="Calibri"/>
        <family val="2"/>
      </rPr>
      <t>α</t>
    </r>
    <r>
      <rPr>
        <sz val="16"/>
        <color theme="3"/>
        <rFont val="Angsana New"/>
        <family val="1"/>
      </rPr>
      <t>/2)</t>
    </r>
  </si>
  <si>
    <t>Nominal</t>
  </si>
  <si>
    <t>Position</t>
  </si>
  <si>
    <t>Pitch Dia
[E]</t>
  </si>
  <si>
    <t>Deviation</t>
  </si>
  <si>
    <t>Repeatability</t>
  </si>
  <si>
    <t>Average</t>
  </si>
  <si>
    <t>X</t>
  </si>
  <si>
    <t>Y</t>
  </si>
  <si>
    <t>Calibrated By</t>
  </si>
  <si>
    <t>:</t>
  </si>
  <si>
    <t>Mr. Vichan Ananta</t>
  </si>
  <si>
    <t>Mr.Kittikorn Kingmali</t>
  </si>
  <si>
    <t>Mr.Chainarong  Matchayamat</t>
  </si>
  <si>
    <t>Ms. Arunkamon Raramanus</t>
  </si>
  <si>
    <t>Uncertainty Budget of Taper Thread Ring Gauge</t>
  </si>
  <si>
    <r>
      <t xml:space="preserve">Unit: </t>
    </r>
    <r>
      <rPr>
        <b/>
        <sz val="9"/>
        <rFont val="Calibri"/>
        <family val="2"/>
      </rPr>
      <t>µ</t>
    </r>
    <r>
      <rPr>
        <b/>
        <sz val="9"/>
        <rFont val="Arial"/>
        <family val="2"/>
      </rPr>
      <t>m</t>
    </r>
  </si>
  <si>
    <t>Symbol</t>
  </si>
  <si>
    <t>Source of Uncertainty</t>
  </si>
  <si>
    <t>Value</t>
  </si>
  <si>
    <t>Probability</t>
  </si>
  <si>
    <t>Divisor</t>
  </si>
  <si>
    <t>Ci</t>
  </si>
  <si>
    <t>Ui</t>
  </si>
  <si>
    <r>
      <t xml:space="preserve">Vi or
 </t>
    </r>
    <r>
      <rPr>
        <sz val="14"/>
        <rFont val="Cordia New"/>
        <family val="2"/>
      </rPr>
      <t>V</t>
    </r>
    <r>
      <rPr>
        <i/>
        <sz val="11"/>
        <rFont val="Cordia New"/>
        <family val="2"/>
      </rPr>
      <t>eff</t>
    </r>
  </si>
  <si>
    <t>±</t>
  </si>
  <si>
    <t>Distrbution</t>
  </si>
  <si>
    <r>
      <rPr>
        <i/>
        <sz val="22"/>
        <rFont val="Cordia New"/>
        <family val="2"/>
      </rPr>
      <t>u</t>
    </r>
    <r>
      <rPr>
        <sz val="10"/>
        <rFont val="Cordia New"/>
        <family val="2"/>
      </rPr>
      <t>A</t>
    </r>
  </si>
  <si>
    <t>Normal</t>
  </si>
  <si>
    <r>
      <rPr>
        <i/>
        <sz val="22"/>
        <rFont val="Cordia New"/>
        <family val="2"/>
      </rPr>
      <t>u</t>
    </r>
    <r>
      <rPr>
        <i/>
        <sz val="12"/>
        <rFont val="Cordia New"/>
        <family val="2"/>
      </rPr>
      <t>B1</t>
    </r>
  </si>
  <si>
    <t>Uncertainty of Ring Gauge</t>
  </si>
  <si>
    <r>
      <rPr>
        <i/>
        <sz val="22"/>
        <rFont val="Cordia New"/>
        <family val="2"/>
      </rPr>
      <t>u</t>
    </r>
    <r>
      <rPr>
        <i/>
        <sz val="12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</si>
  <si>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Uncertainty of ULM</t>
  </si>
  <si>
    <r>
      <rPr>
        <i/>
        <sz val="22"/>
        <rFont val="Cordia New"/>
        <family val="2"/>
      </rPr>
      <t>u</t>
    </r>
    <r>
      <rPr>
        <i/>
        <sz val="12"/>
        <rFont val="Cordia New"/>
        <family val="2"/>
      </rPr>
      <t>B3</t>
    </r>
    <r>
      <rPr>
        <sz val="11"/>
        <color theme="1"/>
        <rFont val="Calibri"/>
        <family val="2"/>
        <scheme val="minor"/>
      </rPr>
      <t/>
    </r>
  </si>
  <si>
    <t>Uncertainty of Elastic Deformation</t>
  </si>
  <si>
    <t>Rectangular</t>
  </si>
  <si>
    <r>
      <rPr>
        <sz val="12"/>
        <rFont val="Tahoma"/>
        <family val="2"/>
      </rPr>
      <t>√</t>
    </r>
    <r>
      <rPr>
        <sz val="12"/>
        <rFont val="Cordia New"/>
        <family val="2"/>
      </rPr>
      <t>3</t>
    </r>
  </si>
  <si>
    <r>
      <rPr>
        <i/>
        <sz val="22"/>
        <rFont val="Cordia New"/>
        <family val="2"/>
      </rPr>
      <t>u</t>
    </r>
    <r>
      <rPr>
        <i/>
        <sz val="12"/>
        <rFont val="Cordia New"/>
        <family val="2"/>
      </rPr>
      <t>B4</t>
    </r>
    <r>
      <rPr>
        <sz val="11"/>
        <color theme="1"/>
        <rFont val="Calibri"/>
        <family val="2"/>
        <scheme val="minor"/>
      </rPr>
      <t/>
    </r>
  </si>
  <si>
    <t>Uncertainty of Slop</t>
  </si>
  <si>
    <r>
      <rPr>
        <i/>
        <sz val="22"/>
        <rFont val="Cordia New"/>
        <family val="2"/>
      </rPr>
      <t>u</t>
    </r>
    <r>
      <rPr>
        <i/>
        <sz val="12"/>
        <rFont val="Cordia New"/>
        <family val="2"/>
      </rPr>
      <t>B5</t>
    </r>
    <r>
      <rPr>
        <sz val="11"/>
        <color theme="1"/>
        <rFont val="Calibri"/>
        <family val="2"/>
        <scheme val="minor"/>
      </rPr>
      <t/>
    </r>
  </si>
  <si>
    <t>Uncertainty of Resolution of ULM</t>
  </si>
  <si>
    <r>
      <t>2</t>
    </r>
    <r>
      <rPr>
        <sz val="12"/>
        <rFont val="Tahoma"/>
        <family val="2"/>
      </rPr>
      <t>√</t>
    </r>
    <r>
      <rPr>
        <sz val="12"/>
        <rFont val="Cordia New"/>
        <family val="2"/>
      </rPr>
      <t>3</t>
    </r>
  </si>
  <si>
    <r>
      <rPr>
        <i/>
        <sz val="22"/>
        <rFont val="Cordia New"/>
        <family val="2"/>
      </rPr>
      <t>u</t>
    </r>
    <r>
      <rPr>
        <i/>
        <sz val="12"/>
        <rFont val="Cordia New"/>
        <family val="2"/>
      </rPr>
      <t>B6</t>
    </r>
    <r>
      <rPr>
        <sz val="11"/>
        <color theme="1"/>
        <rFont val="Calibri"/>
        <family val="2"/>
        <scheme val="minor"/>
      </rPr>
      <t/>
    </r>
  </si>
  <si>
    <t>Uncertainty of 2 Ball Diameter</t>
  </si>
  <si>
    <r>
      <rPr>
        <i/>
        <sz val="22"/>
        <rFont val="Cordia New"/>
        <family val="2"/>
      </rPr>
      <t>u</t>
    </r>
    <r>
      <rPr>
        <i/>
        <sz val="12"/>
        <rFont val="Cordia New"/>
        <family val="2"/>
      </rPr>
      <t>B7</t>
    </r>
    <r>
      <rPr>
        <sz val="11"/>
        <color theme="1"/>
        <rFont val="Calibri"/>
        <family val="2"/>
        <scheme val="minor"/>
      </rPr>
      <t/>
    </r>
  </si>
  <si>
    <t>Uncertainty of Flank Angle</t>
  </si>
  <si>
    <r>
      <rPr>
        <i/>
        <sz val="22"/>
        <rFont val="Cordia New"/>
        <family val="2"/>
      </rPr>
      <t>u</t>
    </r>
    <r>
      <rPr>
        <i/>
        <sz val="12"/>
        <rFont val="Cordia New"/>
        <family val="2"/>
      </rPr>
      <t>B8</t>
    </r>
    <r>
      <rPr>
        <sz val="11"/>
        <color theme="1"/>
        <rFont val="Calibri"/>
        <family val="2"/>
        <scheme val="minor"/>
      </rPr>
      <t/>
    </r>
  </si>
  <si>
    <t>Uncertainty of Abbe' Error</t>
  </si>
  <si>
    <r>
      <rPr>
        <i/>
        <sz val="22"/>
        <rFont val="Cordia New"/>
        <family val="2"/>
      </rPr>
      <t>u</t>
    </r>
    <r>
      <rPr>
        <i/>
        <sz val="12"/>
        <rFont val="Cordia New"/>
        <family val="2"/>
      </rPr>
      <t>B9</t>
    </r>
    <r>
      <rPr>
        <sz val="11"/>
        <color theme="1"/>
        <rFont val="Calibri"/>
        <family val="2"/>
        <scheme val="minor"/>
      </rPr>
      <t/>
    </r>
  </si>
  <si>
    <t>Uncertainty of Temperature</t>
  </si>
  <si>
    <r>
      <rPr>
        <i/>
        <sz val="22"/>
        <rFont val="Cordia New"/>
        <family val="2"/>
      </rPr>
      <t>u</t>
    </r>
    <r>
      <rPr>
        <i/>
        <sz val="18"/>
        <rFont val="Cordia New"/>
        <family val="2"/>
      </rPr>
      <t>c</t>
    </r>
  </si>
  <si>
    <t>Combined Uncertainty</t>
  </si>
  <si>
    <r>
      <rPr>
        <i/>
        <sz val="22"/>
        <rFont val="Cordia New"/>
        <family val="2"/>
      </rPr>
      <t>u</t>
    </r>
    <r>
      <rPr>
        <i/>
        <sz val="9"/>
        <rFont val="Cordia New"/>
        <family val="2"/>
      </rPr>
      <t>95%</t>
    </r>
  </si>
  <si>
    <t>Expanded Uncertainty</t>
  </si>
  <si>
    <t>Nomal k = 2</t>
  </si>
  <si>
    <t>Certificate of Calibration (ULM)</t>
  </si>
  <si>
    <t>Certificate of Calibration (Ring Gauge)</t>
  </si>
  <si>
    <t>Certificate of Calibration (Gauge Block)</t>
  </si>
  <si>
    <t>SP-SD-001</t>
  </si>
  <si>
    <t>SP-SD-007</t>
  </si>
  <si>
    <t>SP-SD-009</t>
  </si>
  <si>
    <t>Due Date</t>
  </si>
  <si>
    <t>µm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</si>
  <si>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</si>
  <si>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</si>
  <si>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</si>
  <si>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r>
      <t>Page :</t>
    </r>
    <r>
      <rPr>
        <sz val="10"/>
        <rFont val="Gulim"/>
        <family val="2"/>
      </rPr>
      <t xml:space="preserve"> 1 of 3</t>
    </r>
  </si>
  <si>
    <t>Customer</t>
  </si>
  <si>
    <t>SP METROLOGY SYSTEM (THAILAND) CO.,LTD.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</si>
  <si>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</si>
  <si>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</si>
  <si>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</si>
  <si>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</si>
  <si>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</si>
  <si>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</si>
  <si>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</si>
  <si>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</si>
  <si>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</si>
  <si>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</si>
  <si>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 xml:space="preserve">20 °C   </t>
  </si>
  <si>
    <t>± 1 °C</t>
  </si>
  <si>
    <t>Relative Humidity</t>
  </si>
  <si>
    <t>± 15 %</t>
  </si>
  <si>
    <t>Location of Calibration</t>
  </si>
  <si>
    <t>In-Lab</t>
  </si>
  <si>
    <t>Method of Calibration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</si>
  <si>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</si>
  <si>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</si>
  <si>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</si>
  <si>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</si>
  <si>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</si>
  <si>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</si>
  <si>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</si>
  <si>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</si>
  <si>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Date of Issue :</t>
  </si>
  <si>
    <t>Approved by  :</t>
  </si>
  <si>
    <r>
      <t>Calibrated by :</t>
    </r>
    <r>
      <rPr>
        <sz val="10"/>
        <rFont val="Gulim"/>
        <family val="2"/>
      </rPr>
      <t xml:space="preserve"> </t>
    </r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</si>
  <si>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</si>
  <si>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</si>
  <si>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</si>
  <si>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</si>
  <si>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</si>
  <si>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</si>
  <si>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</si>
  <si>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</si>
  <si>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</si>
  <si>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</si>
  <si>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 xml:space="preserve">The reported uncertainty of measurement is the expanded uncertainty obtained by multiplying the </t>
  </si>
  <si>
    <t>- End of Certificate -</t>
  </si>
  <si>
    <t>SPR15120012-1</t>
  </si>
  <si>
    <t xml:space="preserve">Page </t>
  </si>
  <si>
    <t>of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</si>
  <si>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</si>
  <si>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</si>
  <si>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</si>
  <si>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Equipment Name :</t>
  </si>
  <si>
    <t>Overall Inspection</t>
  </si>
  <si>
    <t>Good</t>
  </si>
  <si>
    <t>Not Good</t>
  </si>
  <si>
    <t>Taper Thread Ring Gauge</t>
  </si>
  <si>
    <t>OPI</t>
  </si>
  <si>
    <r>
      <rPr>
        <i/>
        <sz val="16"/>
        <rFont val="Tahoma"/>
        <family val="2"/>
      </rPr>
      <t>u</t>
    </r>
    <r>
      <rPr>
        <i/>
        <sz val="8"/>
        <rFont val="Tahoma"/>
        <family val="2"/>
      </rPr>
      <t>A2</t>
    </r>
    <r>
      <rPr>
        <sz val="8"/>
        <rFont val="Tahoma"/>
        <family val="2"/>
      </rPr>
      <t xml:space="preserve"> </t>
    </r>
    <r>
      <rPr>
        <sz val="10"/>
        <rFont val="Tahoma"/>
        <family val="2"/>
      </rPr>
      <t xml:space="preserve">=   </t>
    </r>
  </si>
  <si>
    <r>
      <rPr>
        <sz val="12"/>
        <rFont val="Cambria"/>
        <family val="2"/>
        <scheme val="major"/>
      </rPr>
      <t>2</t>
    </r>
    <r>
      <rPr>
        <i/>
        <sz val="12"/>
        <rFont val="Cambria"/>
        <family val="2"/>
        <scheme val="major"/>
      </rPr>
      <t>W</t>
    </r>
    <r>
      <rPr>
        <sz val="8"/>
        <rFont val="Cambria"/>
        <family val="2"/>
        <scheme val="major"/>
      </rPr>
      <t>VO</t>
    </r>
  </si>
  <si>
    <r>
      <rPr>
        <i/>
        <sz val="12"/>
        <rFont val="Cambria"/>
        <family val="2"/>
        <scheme val="major"/>
      </rPr>
      <t>W</t>
    </r>
    <r>
      <rPr>
        <sz val="8"/>
        <rFont val="Cambria"/>
        <family val="2"/>
        <scheme val="major"/>
      </rPr>
      <t>VO</t>
    </r>
    <r>
      <rPr>
        <i/>
        <sz val="8"/>
        <rFont val="Cambria"/>
        <family val="2"/>
        <scheme val="major"/>
      </rPr>
      <t xml:space="preserve"> </t>
    </r>
    <r>
      <rPr>
        <i/>
        <sz val="10"/>
        <rFont val="Cambria"/>
        <family val="2"/>
        <scheme val="major"/>
      </rPr>
      <t>=</t>
    </r>
  </si>
  <si>
    <r>
      <t>(sin(</t>
    </r>
    <r>
      <rPr>
        <sz val="9"/>
        <rFont val="Calibri"/>
        <family val="2"/>
      </rPr>
      <t xml:space="preserve">α </t>
    </r>
    <r>
      <rPr>
        <sz val="9"/>
        <rFont val="Arial"/>
        <family val="2"/>
      </rPr>
      <t>/ 2))^-5/3*(1 / 2)^2/3*W</t>
    </r>
    <r>
      <rPr>
        <sz val="8"/>
        <rFont val="Arial"/>
        <family val="2"/>
      </rPr>
      <t>o</t>
    </r>
  </si>
  <si>
    <t>Uncertainty of Resolution</t>
  </si>
  <si>
    <r>
      <rPr>
        <i/>
        <sz val="9"/>
        <rFont val="Arial"/>
        <family val="2"/>
      </rPr>
      <t>W</t>
    </r>
    <r>
      <rPr>
        <sz val="9"/>
        <rFont val="Arial"/>
        <family val="2"/>
      </rPr>
      <t>o =</t>
    </r>
  </si>
  <si>
    <r>
      <t>W</t>
    </r>
    <r>
      <rPr>
        <sz val="9"/>
        <rFont val="Arial"/>
        <family val="2"/>
      </rPr>
      <t>vo =</t>
    </r>
  </si>
  <si>
    <t>F =</t>
  </si>
  <si>
    <t>Measuring force (perpendicular to the flat)</t>
  </si>
  <si>
    <r>
      <rPr>
        <i/>
        <sz val="11"/>
        <rFont val="Tahoma"/>
        <family val="2"/>
      </rPr>
      <t>d</t>
    </r>
    <r>
      <rPr>
        <sz val="8"/>
        <rFont val="Tahoma"/>
        <family val="2"/>
      </rPr>
      <t xml:space="preserve">D </t>
    </r>
    <r>
      <rPr>
        <sz val="10"/>
        <rFont val="Tahoma"/>
        <family val="2"/>
      </rPr>
      <t xml:space="preserve">=   </t>
    </r>
  </si>
  <si>
    <t>Ball diameter</t>
  </si>
  <si>
    <t>V =</t>
  </si>
  <si>
    <t>Poisson-coefficient</t>
  </si>
  <si>
    <t>Steel =</t>
  </si>
  <si>
    <t xml:space="preserve">Ruby = </t>
  </si>
  <si>
    <r>
      <rPr>
        <i/>
        <sz val="11"/>
        <rFont val="Tahoma"/>
        <family val="2"/>
      </rPr>
      <t xml:space="preserve">E </t>
    </r>
    <r>
      <rPr>
        <sz val="10"/>
        <rFont val="Tahoma"/>
        <family val="2"/>
      </rPr>
      <t xml:space="preserve">=    </t>
    </r>
  </si>
  <si>
    <t>Elasticity modulus</t>
  </si>
  <si>
    <t xml:space="preserve"> 2*10^11</t>
  </si>
  <si>
    <t>4*10^11</t>
  </si>
  <si>
    <t>N/m2</t>
  </si>
  <si>
    <r>
      <rPr>
        <i/>
        <sz val="22"/>
        <rFont val="Cordia New"/>
        <family val="2"/>
      </rPr>
      <t>u</t>
    </r>
    <r>
      <rPr>
        <i/>
        <sz val="12"/>
        <rFont val="Cordia New"/>
        <family val="2"/>
      </rPr>
      <t>B4</t>
    </r>
  </si>
  <si>
    <t>Repeat</t>
  </si>
  <si>
    <t>1/5T</t>
  </si>
  <si>
    <t>1/2T</t>
  </si>
  <si>
    <t>4/5T</t>
  </si>
  <si>
    <t>X1</t>
  </si>
  <si>
    <t>X2</t>
  </si>
  <si>
    <t>X3</t>
  </si>
  <si>
    <t>X4</t>
  </si>
  <si>
    <t>STD Reading</t>
  </si>
  <si>
    <t>ygi</t>
  </si>
  <si>
    <t xml:space="preserve"> Positions</t>
  </si>
  <si>
    <t>x-axis</t>
  </si>
  <si>
    <t>y-axis</t>
  </si>
  <si>
    <t>1/5 T</t>
  </si>
  <si>
    <t>1/2 T</t>
  </si>
  <si>
    <t>4/5 T</t>
  </si>
  <si>
    <t>Reference Standards</t>
  </si>
  <si>
    <t>Universal Length 
Measuring</t>
  </si>
  <si>
    <t>LMI 01-680 PC</t>
  </si>
  <si>
    <t>050021</t>
  </si>
  <si>
    <t>1000959-1</t>
  </si>
  <si>
    <t>-The National Institute of Metrology ( Thailand ), NIMT.</t>
  </si>
  <si>
    <t>Symbol of Taper Thread Ring Gauge</t>
  </si>
  <si>
    <t>GO</t>
  </si>
  <si>
    <t>NO</t>
  </si>
  <si>
    <t>Symbol of 
Taper Thread Ring Gague</t>
  </si>
  <si>
    <r>
      <t xml:space="preserve">Uncertianty
( </t>
    </r>
    <r>
      <rPr>
        <sz val="10"/>
        <rFont val="Calibri"/>
        <family val="2"/>
      </rPr>
      <t>±</t>
    </r>
    <r>
      <rPr>
        <sz val="10"/>
        <rFont val="Gulim"/>
        <family val="2"/>
      </rPr>
      <t xml:space="preserve"> ) </t>
    </r>
    <r>
      <rPr>
        <sz val="10"/>
        <rFont val="Calibri"/>
        <family val="2"/>
      </rPr>
      <t>µ</t>
    </r>
    <r>
      <rPr>
        <sz val="10"/>
        <rFont val="Gulim"/>
        <family val="2"/>
      </rPr>
      <t>m</t>
    </r>
  </si>
  <si>
    <t>Measured Values</t>
  </si>
  <si>
    <t xml:space="preserve">     standard uncertainty with the coverage factor k = 2.00, providing a level of confidence approximately 95 %</t>
  </si>
  <si>
    <t>Measurement Results Pitch Diameter</t>
  </si>
  <si>
    <t>Pitch Diameter</t>
  </si>
  <si>
    <t>Nominal Value (mm)</t>
  </si>
  <si>
    <t>Permissible Deviation (μm)</t>
  </si>
  <si>
    <t>Upper</t>
  </si>
  <si>
    <t>Lower</t>
  </si>
  <si>
    <t>Tolerance</t>
  </si>
  <si>
    <t xml:space="preserve">Symbol of 
Taper Thread Ring </t>
  </si>
  <si>
    <t>Measurement Results Minor Diameter</t>
  </si>
  <si>
    <t>Symbol of 
Taper Thread Ring</t>
  </si>
  <si>
    <t>Minor Diameter</t>
  </si>
  <si>
    <r>
      <t xml:space="preserve">   Page :</t>
    </r>
    <r>
      <rPr>
        <sz val="10"/>
        <rFont val="Gulim"/>
        <family val="2"/>
      </rPr>
      <t xml:space="preserve"> 3 of 4</t>
    </r>
  </si>
  <si>
    <r>
      <t xml:space="preserve">   Page :</t>
    </r>
    <r>
      <rPr>
        <sz val="10"/>
        <rFont val="Gulim"/>
        <family val="2"/>
      </rPr>
      <t xml:space="preserve"> 4 of 4</t>
    </r>
  </si>
  <si>
    <t>Uncertainty Budget of Thread Ring Gauge</t>
  </si>
  <si>
    <t>Nominal Value</t>
  </si>
  <si>
    <t>Uncertainty of GB</t>
  </si>
  <si>
    <t>Uncertainty of  ULM</t>
  </si>
  <si>
    <t xml:space="preserve">Resolution of ULM </t>
  </si>
  <si>
    <t xml:space="preserve">Elastic Deformation </t>
  </si>
  <si>
    <t>Temperature Effect</t>
  </si>
  <si>
    <t>Uc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</si>
  <si>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</si>
  <si>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</si>
  <si>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</si>
  <si>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</si>
  <si>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</si>
  <si>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Elastic Deformation</t>
  </si>
  <si>
    <t>Taper Thread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</si>
</sst>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* #,##0.00_);_(* \(#,##0.00\);_(* &quot;-&quot;??_);_(@_)"/>
    <numFmt numFmtId="165" formatCode="dd\ mmmm\ yyyy"/>
    <numFmt numFmtId="166" formatCode="0.000"/>
    <numFmt numFmtId="167" formatCode="0.000000"/>
    <numFmt numFmtId="168" formatCode="0.0000"/>
    <numFmt numFmtId="169" formatCode="0.0"/>
    <numFmt numFmtId="170" formatCode="0.00000"/>
    <numFmt numFmtId="171" formatCode="0.0E+00"/>
    <numFmt numFmtId="172" formatCode="0.0000000"/>
    <numFmt numFmtId="173" formatCode="0.000E+00"/>
    <numFmt numFmtId="174" formatCode="[$-409]d\-mmm\-yyyy;@"/>
    <numFmt numFmtId="175" formatCode="[$-809]dd\ mmmm\ yyyy;@"/>
    <numFmt numFmtId="176" formatCode="[$-1010409]d\ mmmm\ yyyy;@"/>
    <numFmt numFmtId="177" formatCode="[$-409]d\-mmm\-yy;@"/>
    <numFmt numFmtId="178" formatCode="0.000\ 0"/>
    <numFmt numFmtId="179" formatCode="[$-409]dd\-mmm\-yy;@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9"/>
      <name val="Arial"/>
      <family val="2"/>
    </font>
    <font>
      <sz val="8"/>
      <name val="Arial"/>
      <family val="2"/>
    </font>
    <font>
      <sz val="9"/>
      <color theme="1"/>
      <name val="Gulim"/>
      <family val="2"/>
    </font>
    <font>
      <sz val="12"/>
      <name val="Gulim"/>
      <family val="2"/>
    </font>
    <font>
      <sz val="10"/>
      <name val="Gulim"/>
      <family val="2"/>
    </font>
    <font>
      <b/>
      <sz val="16"/>
      <name val="Cordia New"/>
      <family val="2"/>
    </font>
    <font>
      <sz val="10"/>
      <name val="Arial"/>
      <family val="2"/>
    </font>
    <font>
      <sz val="14"/>
      <color theme="1"/>
      <name val="Angsana New"/>
      <family val="1"/>
    </font>
    <font>
      <sz val="16"/>
      <name val="Angsana New"/>
      <family val="1"/>
    </font>
    <font>
      <sz val="14"/>
      <color theme="1"/>
      <name val="Symbol"/>
      <family val="1"/>
      <charset val="2"/>
    </font>
    <font>
      <sz val="16"/>
      <color theme="3"/>
      <name val="Angsana New"/>
      <family val="1"/>
    </font>
    <font>
      <sz val="20"/>
      <color theme="3"/>
      <name val="Angsana New"/>
      <family val="1"/>
    </font>
    <font>
      <sz val="16"/>
      <color theme="3"/>
      <name val="Calibri"/>
      <family val="2"/>
    </font>
    <font>
      <b/>
      <sz val="10"/>
      <name val="Gulim"/>
      <family val="2"/>
    </font>
    <font>
      <sz val="14"/>
      <name val="Cordia New"/>
      <family val="2"/>
    </font>
    <font>
      <sz val="12"/>
      <color theme="1"/>
      <name val="Cordia New"/>
      <family val="2"/>
    </font>
    <font>
      <sz val="11"/>
      <color theme="1"/>
      <name val="Cordia New"/>
      <family val="2"/>
    </font>
    <font>
      <b/>
      <u/>
      <sz val="14"/>
      <color theme="1"/>
      <name val="Angsana New"/>
      <family val="1"/>
    </font>
    <font>
      <sz val="12"/>
      <color theme="6" tint="-0.499984740745262"/>
      <name val="Cordia New"/>
      <family val="2"/>
    </font>
    <font>
      <sz val="14"/>
      <color theme="1"/>
      <name val="Calibri"/>
      <family val="2"/>
      <scheme val="minor"/>
    </font>
    <font>
      <b/>
      <sz val="9"/>
      <name val="Arial"/>
      <family val="2"/>
    </font>
    <font>
      <b/>
      <sz val="18"/>
      <name val="Arial"/>
      <family val="2"/>
    </font>
    <font>
      <sz val="9"/>
      <color indexed="10"/>
      <name val="Arial"/>
      <family val="2"/>
    </font>
    <font>
      <b/>
      <sz val="24"/>
      <name val="Arial"/>
      <family val="2"/>
    </font>
    <font>
      <b/>
      <sz val="16"/>
      <name val="Angsana New"/>
      <family val="1"/>
    </font>
    <font>
      <b/>
      <sz val="9"/>
      <name val="Calibri"/>
      <family val="2"/>
    </font>
    <font>
      <sz val="12"/>
      <name val="Cordia New"/>
      <family val="2"/>
    </font>
    <font>
      <i/>
      <sz val="11"/>
      <name val="Cordia New"/>
      <family val="2"/>
    </font>
    <font>
      <sz val="12"/>
      <name val="Calibri"/>
      <family val="2"/>
    </font>
    <font>
      <i/>
      <sz val="22"/>
      <name val="Cordia New"/>
      <family val="2"/>
    </font>
    <font>
      <sz val="10"/>
      <name val="Cordia New"/>
      <family val="2"/>
    </font>
    <font>
      <sz val="12"/>
      <color rgb="FF002060"/>
      <name val="Cordia New"/>
      <family val="2"/>
    </font>
    <font>
      <sz val="12"/>
      <color rgb="FF00B050"/>
      <name val="Cordia New"/>
      <family val="2"/>
    </font>
    <font>
      <i/>
      <sz val="12"/>
      <name val="Cordia New"/>
      <family val="2"/>
    </font>
    <font>
      <sz val="12"/>
      <name val="Tahoma"/>
      <family val="2"/>
    </font>
    <font>
      <i/>
      <sz val="18"/>
      <name val="Cordia New"/>
      <family val="2"/>
    </font>
    <font>
      <i/>
      <sz val="9"/>
      <name val="Cordia New"/>
      <family val="2"/>
    </font>
    <font>
      <sz val="8"/>
      <color rgb="FF0070C0"/>
      <name val="Arial"/>
      <family val="2"/>
    </font>
    <font>
      <sz val="12"/>
      <color indexed="20"/>
      <name val="Cordia New"/>
      <family val="2"/>
    </font>
    <font>
      <sz val="12"/>
      <color rgb="FF0070C0"/>
      <name val="Cordia New"/>
      <family val="2"/>
    </font>
    <font>
      <sz val="12"/>
      <color rgb="FFFF0000"/>
      <name val="Cordia New"/>
      <family val="2"/>
    </font>
    <font>
      <b/>
      <sz val="12"/>
      <color theme="8" tint="-0.499984740745262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9"/>
      <color theme="1"/>
      <name val="Arial"/>
      <family val="2"/>
    </font>
    <font>
      <sz val="8"/>
      <color indexed="20"/>
      <name val="Arial"/>
      <family val="2"/>
    </font>
    <font>
      <sz val="18"/>
      <name val="Angsana New"/>
      <family val="1"/>
    </font>
    <font>
      <b/>
      <sz val="12"/>
      <name val="Angsana New"/>
      <family val="1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b/>
      <sz val="14"/>
      <color rgb="FFFF0000"/>
      <name val="Cordia New"/>
      <family val="2"/>
    </font>
    <font>
      <sz val="14"/>
      <name val="Angsana New"/>
      <family val="1"/>
    </font>
    <font>
      <sz val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Angsana New"/>
      <family val="1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1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0"/>
      <color theme="0"/>
      <name val="Gulim"/>
      <family val="2"/>
    </font>
    <font>
      <b/>
      <sz val="12"/>
      <name val="Gulim"/>
      <family val="2"/>
    </font>
    <font>
      <b/>
      <sz val="11"/>
      <name val="Gulim"/>
      <family val="2"/>
    </font>
    <font>
      <sz val="14"/>
      <color indexed="10"/>
      <name val="Cordia New"/>
      <family val="2"/>
    </font>
    <font>
      <b/>
      <sz val="18"/>
      <name val="Gulim"/>
      <family val="2"/>
    </font>
    <font>
      <b/>
      <sz val="11"/>
      <name val="Gill Sans MT"/>
      <family val="2"/>
    </font>
    <font>
      <sz val="11"/>
      <name val="Gill Sans MT"/>
      <family val="2"/>
    </font>
    <font>
      <sz val="10"/>
      <name val="Giulim"/>
    </font>
    <font>
      <sz val="9"/>
      <name val="Gulim"/>
      <family val="2"/>
    </font>
    <font>
      <sz val="9"/>
      <color rgb="FF0000CC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rgb="FF0070C0"/>
      <name val="Cordia New"/>
      <family val="2"/>
    </font>
    <font>
      <sz val="11"/>
      <name val="Tahoma"/>
      <family val="2"/>
    </font>
    <font>
      <i/>
      <sz val="16"/>
      <name val="Tahoma"/>
      <family val="2"/>
    </font>
    <font>
      <i/>
      <sz val="8"/>
      <name val="Tahoma"/>
      <family val="2"/>
    </font>
    <font>
      <sz val="8"/>
      <name val="Tahoma"/>
      <family val="2"/>
    </font>
    <font>
      <sz val="10"/>
      <name val="Tahoma"/>
      <family val="2"/>
    </font>
    <font>
      <i/>
      <sz val="10"/>
      <name val="Cambria"/>
      <family val="2"/>
      <scheme val="major"/>
    </font>
    <font>
      <sz val="12"/>
      <name val="Cambria"/>
      <family val="2"/>
      <scheme val="major"/>
    </font>
    <font>
      <i/>
      <sz val="12"/>
      <name val="Cambria"/>
      <family val="2"/>
      <scheme val="major"/>
    </font>
    <font>
      <sz val="8"/>
      <name val="Cambria"/>
      <family val="2"/>
      <scheme val="major"/>
    </font>
    <font>
      <i/>
      <sz val="8"/>
      <name val="Cambria"/>
      <family val="2"/>
      <scheme val="major"/>
    </font>
    <font>
      <sz val="9"/>
      <name val="Calibri"/>
      <family val="2"/>
    </font>
    <font>
      <i/>
      <sz val="9"/>
      <name val="Arial"/>
      <family val="2"/>
    </font>
    <font>
      <sz val="9"/>
      <color rgb="FF0070C0"/>
      <name val="Arial"/>
      <family val="2"/>
    </font>
    <font>
      <sz val="9"/>
      <color rgb="FF00B050"/>
      <name val="Arial"/>
      <family val="2"/>
    </font>
    <font>
      <i/>
      <sz val="11"/>
      <name val="Tahoma"/>
      <family val="2"/>
    </font>
    <font>
      <sz val="9"/>
      <color rgb="FF002060"/>
      <name val="Arial"/>
      <family val="2"/>
    </font>
    <font>
      <sz val="16"/>
      <name val="Cordia New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sz val="10"/>
      <name val="Calibri"/>
      <family val="2"/>
    </font>
    <font>
      <u/>
      <sz val="10"/>
      <color indexed="12"/>
      <name val="Arial"/>
      <family val="2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Gulim"/>
      <family val="2"/>
    </font>
    <font>
      <sz val="10"/>
      <color rgb="FF0070C0"/>
      <name val="Calibri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</fonts>
  <fills count="2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9" fillId="0" borderId="0"/>
    <xf numFmtId="0" fontId="1" fillId="0" borderId="0"/>
    <xf numFmtId="164" fontId="19" fillId="0" borderId="0" applyFont="0" applyFill="0" applyBorder="0" applyAlignment="0" applyProtection="0"/>
    <xf numFmtId="0" fontId="1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9" fillId="0" borderId="0"/>
    <xf numFmtId="0" fontId="19" fillId="0" borderId="0"/>
    <xf numFmtId="0" fontId="19" fillId="0" borderId="0"/>
    <xf numFmtId="0" fontId="1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571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3" fillId="0" borderId="0" xfId="1" applyFont="1" applyFill="1" applyAlignment="1"/>
    <xf numFmtId="165" fontId="4" fillId="0" borderId="0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166" fontId="5" fillId="3" borderId="0" xfId="0" applyNumberFormat="1" applyFont="1" applyFill="1" applyBorder="1" applyAlignment="1">
      <alignment vertical="center"/>
    </xf>
    <xf numFmtId="166" fontId="5" fillId="3" borderId="0" xfId="0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/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2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3" applyFont="1" applyAlignment="1">
      <alignment horizontal="center" vertical="center"/>
    </xf>
    <xf numFmtId="0" fontId="13" fillId="0" borderId="0" xfId="4" applyFont="1" applyFill="1" applyAlignment="1">
      <alignment vertical="center"/>
    </xf>
    <xf numFmtId="0" fontId="13" fillId="0" borderId="0" xfId="3" applyFont="1" applyAlignment="1">
      <alignment vertical="center"/>
    </xf>
    <xf numFmtId="0" fontId="13" fillId="9" borderId="0" xfId="4" applyFont="1" applyFill="1" applyAlignment="1">
      <alignment horizontal="left" vertical="center" shrinkToFit="1"/>
    </xf>
    <xf numFmtId="0" fontId="13" fillId="0" borderId="0" xfId="3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3" fillId="0" borderId="0" xfId="3" applyFont="1" applyFill="1" applyAlignment="1">
      <alignment vertical="center"/>
    </xf>
    <xf numFmtId="0" fontId="12" fillId="0" borderId="0" xfId="0" applyFont="1" applyBorder="1" applyAlignment="1">
      <alignment horizontal="center" vertical="center" wrapText="1"/>
    </xf>
    <xf numFmtId="0" fontId="13" fillId="0" borderId="0" xfId="3" applyFont="1" applyFill="1" applyAlignment="1">
      <alignment horizontal="left" vertical="center"/>
    </xf>
    <xf numFmtId="0" fontId="13" fillId="0" borderId="0" xfId="3" applyFont="1" applyFill="1" applyAlignment="1">
      <alignment horizontal="center" vertical="center"/>
    </xf>
    <xf numFmtId="0" fontId="13" fillId="0" borderId="0" xfId="3" applyFont="1" applyAlignment="1">
      <alignment horizontal="center" vertical="center" shrinkToFit="1"/>
    </xf>
    <xf numFmtId="168" fontId="13" fillId="0" borderId="0" xfId="4" applyNumberFormat="1" applyFont="1" applyFill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 wrapText="1"/>
    </xf>
    <xf numFmtId="166" fontId="4" fillId="0" borderId="7" xfId="0" applyNumberFormat="1" applyFont="1" applyBorder="1" applyAlignment="1">
      <alignment horizontal="center" vertical="center"/>
    </xf>
    <xf numFmtId="0" fontId="15" fillId="0" borderId="0" xfId="3" applyFont="1" applyFill="1" applyAlignment="1">
      <alignment horizontal="left" vertical="center"/>
    </xf>
    <xf numFmtId="2" fontId="13" fillId="0" borderId="0" xfId="3" applyNumberFormat="1" applyFont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0" fillId="0" borderId="0" xfId="0" applyBorder="1"/>
    <xf numFmtId="166" fontId="20" fillId="0" borderId="7" xfId="1" applyNumberFormat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vertical="center"/>
    </xf>
    <xf numFmtId="170" fontId="19" fillId="0" borderId="0" xfId="0" applyNumberFormat="1" applyFont="1" applyBorder="1" applyAlignment="1">
      <alignment vertical="center"/>
    </xf>
    <xf numFmtId="0" fontId="21" fillId="0" borderId="0" xfId="1" applyFont="1" applyFill="1" applyBorder="1" applyAlignment="1">
      <alignment horizontal="center" vertical="center" textRotation="180"/>
    </xf>
    <xf numFmtId="0" fontId="22" fillId="0" borderId="0" xfId="0" applyFont="1" applyAlignment="1">
      <alignment horizontal="justify" vertical="center"/>
    </xf>
    <xf numFmtId="0" fontId="23" fillId="0" borderId="0" xfId="1" applyFont="1" applyFill="1" applyBorder="1" applyAlignment="1">
      <alignment vertical="center"/>
    </xf>
    <xf numFmtId="0" fontId="3" fillId="0" borderId="2" xfId="1" applyFont="1" applyFill="1" applyBorder="1" applyAlignment="1">
      <alignment vertical="center"/>
    </xf>
    <xf numFmtId="0" fontId="19" fillId="0" borderId="0" xfId="5" applyFont="1" applyAlignment="1">
      <alignment vertical="center"/>
    </xf>
    <xf numFmtId="0" fontId="19" fillId="0" borderId="0" xfId="0" applyFont="1" applyAlignment="1">
      <alignment vertical="center"/>
    </xf>
    <xf numFmtId="0" fontId="24" fillId="0" borderId="0" xfId="0" applyFont="1"/>
    <xf numFmtId="0" fontId="3" fillId="0" borderId="0" xfId="6" applyFont="1" applyFill="1" applyAlignment="1">
      <alignment vertical="center"/>
    </xf>
    <xf numFmtId="0" fontId="19" fillId="0" borderId="0" xfId="5" applyFont="1" applyBorder="1" applyAlignment="1">
      <alignment vertical="center"/>
    </xf>
    <xf numFmtId="0" fontId="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vertical="center"/>
    </xf>
    <xf numFmtId="0" fontId="26" fillId="9" borderId="0" xfId="0" applyFont="1" applyFill="1" applyAlignment="1">
      <alignment vertical="center"/>
    </xf>
    <xf numFmtId="0" fontId="25" fillId="9" borderId="0" xfId="0" applyFont="1" applyFill="1" applyAlignment="1">
      <alignment horizontal="left" vertical="center"/>
    </xf>
    <xf numFmtId="0" fontId="25" fillId="9" borderId="0" xfId="0" applyFont="1" applyFill="1" applyAlignment="1">
      <alignment horizontal="right" vertical="center"/>
    </xf>
    <xf numFmtId="0" fontId="27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8" fillId="9" borderId="0" xfId="0" applyFont="1" applyFill="1" applyAlignment="1">
      <alignment horizontal="right" vertical="center"/>
    </xf>
    <xf numFmtId="0" fontId="29" fillId="0" borderId="0" xfId="4" applyFont="1" applyFill="1" applyAlignment="1">
      <alignment horizontal="center" vertical="center"/>
    </xf>
    <xf numFmtId="0" fontId="29" fillId="0" borderId="0" xfId="3" applyFont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 wrapText="1"/>
    </xf>
    <xf numFmtId="168" fontId="13" fillId="7" borderId="0" xfId="4" applyNumberFormat="1" applyFont="1" applyFill="1" applyAlignment="1">
      <alignment vertical="center" shrinkToFit="1"/>
    </xf>
    <xf numFmtId="166" fontId="13" fillId="5" borderId="0" xfId="3" applyNumberFormat="1" applyFont="1" applyFill="1" applyAlignment="1">
      <alignment horizontal="center" vertical="center"/>
    </xf>
    <xf numFmtId="0" fontId="13" fillId="0" borderId="0" xfId="3" applyFont="1" applyAlignment="1">
      <alignment horizontal="left" vertical="center"/>
    </xf>
    <xf numFmtId="166" fontId="13" fillId="7" borderId="0" xfId="4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1" fontId="31" fillId="3" borderId="17" xfId="0" applyNumberFormat="1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171" fontId="31" fillId="3" borderId="17" xfId="0" applyNumberFormat="1" applyFont="1" applyFill="1" applyBorder="1" applyAlignment="1">
      <alignment horizontal="center" vertical="center"/>
    </xf>
    <xf numFmtId="2" fontId="6" fillId="9" borderId="0" xfId="0" applyNumberFormat="1" applyFont="1" applyFill="1" applyBorder="1" applyAlignment="1">
      <alignment horizontal="center" vertical="center"/>
    </xf>
    <xf numFmtId="170" fontId="31" fillId="16" borderId="7" xfId="0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169" fontId="31" fillId="3" borderId="7" xfId="0" applyNumberFormat="1" applyFont="1" applyFill="1" applyBorder="1" applyAlignment="1">
      <alignment horizontal="center" vertical="center"/>
    </xf>
    <xf numFmtId="167" fontId="43" fillId="3" borderId="7" xfId="0" applyNumberFormat="1" applyFont="1" applyFill="1" applyBorder="1" applyAlignment="1">
      <alignment horizontal="center" vertical="center"/>
    </xf>
    <xf numFmtId="170" fontId="31" fillId="3" borderId="7" xfId="0" applyNumberFormat="1" applyFont="1" applyFill="1" applyBorder="1" applyAlignment="1">
      <alignment horizontal="center" vertical="center"/>
    </xf>
    <xf numFmtId="2" fontId="44" fillId="3" borderId="7" xfId="0" applyNumberFormat="1" applyFont="1" applyFill="1" applyBorder="1" applyAlignment="1">
      <alignment horizontal="center" vertical="center"/>
    </xf>
    <xf numFmtId="166" fontId="31" fillId="3" borderId="7" xfId="0" applyNumberFormat="1" applyFont="1" applyFill="1" applyBorder="1" applyAlignment="1">
      <alignment horizontal="center" vertical="center"/>
    </xf>
    <xf numFmtId="172" fontId="45" fillId="3" borderId="7" xfId="0" applyNumberFormat="1" applyFont="1" applyFill="1" applyBorder="1" applyAlignment="1">
      <alignment horizontal="center" vertical="center"/>
    </xf>
    <xf numFmtId="172" fontId="31" fillId="3" borderId="7" xfId="0" applyNumberFormat="1" applyFont="1" applyFill="1" applyBorder="1" applyAlignment="1">
      <alignment horizontal="center" vertical="center"/>
    </xf>
    <xf numFmtId="166" fontId="45" fillId="3" borderId="7" xfId="0" applyNumberFormat="1" applyFont="1" applyFill="1" applyBorder="1" applyAlignment="1">
      <alignment horizontal="center" vertical="center"/>
    </xf>
    <xf numFmtId="168" fontId="31" fillId="3" borderId="7" xfId="0" applyNumberFormat="1" applyFont="1" applyFill="1" applyBorder="1" applyAlignment="1">
      <alignment horizontal="center" vertical="center"/>
    </xf>
    <xf numFmtId="167" fontId="31" fillId="3" borderId="7" xfId="0" applyNumberFormat="1" applyFont="1" applyFill="1" applyBorder="1" applyAlignment="1">
      <alignment horizontal="center" vertical="center"/>
    </xf>
    <xf numFmtId="170" fontId="45" fillId="3" borderId="7" xfId="0" applyNumberFormat="1" applyFont="1" applyFill="1" applyBorder="1" applyAlignment="1">
      <alignment horizontal="center" vertical="center"/>
    </xf>
    <xf numFmtId="168" fontId="31" fillId="3" borderId="17" xfId="0" applyNumberFormat="1" applyFont="1" applyFill="1" applyBorder="1" applyAlignment="1">
      <alignment horizontal="center" vertical="center"/>
    </xf>
    <xf numFmtId="2" fontId="46" fillId="6" borderId="7" xfId="0" applyNumberFormat="1" applyFont="1" applyFill="1" applyBorder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166" fontId="48" fillId="9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173" fontId="49" fillId="0" borderId="0" xfId="0" applyNumberFormat="1" applyFont="1" applyFill="1" applyBorder="1" applyAlignment="1">
      <alignment vertical="center"/>
    </xf>
    <xf numFmtId="2" fontId="5" fillId="3" borderId="0" xfId="0" applyNumberFormat="1" applyFont="1" applyFill="1" applyBorder="1" applyAlignment="1">
      <alignment horizontal="center" vertical="center"/>
    </xf>
    <xf numFmtId="166" fontId="6" fillId="3" borderId="0" xfId="0" applyNumberFormat="1" applyFont="1" applyFill="1" applyBorder="1" applyAlignment="1">
      <alignment horizontal="center" vertical="center"/>
    </xf>
    <xf numFmtId="166" fontId="50" fillId="3" borderId="0" xfId="0" applyNumberFormat="1" applyFont="1" applyFill="1" applyBorder="1" applyAlignment="1">
      <alignment horizontal="center" vertical="center"/>
    </xf>
    <xf numFmtId="171" fontId="6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51" fillId="0" borderId="0" xfId="3" applyFont="1" applyAlignment="1">
      <alignment horizontal="center" vertical="center"/>
    </xf>
    <xf numFmtId="0" fontId="51" fillId="9" borderId="0" xfId="3" applyFont="1" applyFill="1" applyAlignment="1">
      <alignment horizontal="center" vertical="center"/>
    </xf>
    <xf numFmtId="0" fontId="13" fillId="0" borderId="0" xfId="3" applyFont="1" applyAlignment="1" applyProtection="1">
      <alignment horizontal="center" vertical="center"/>
      <protection locked="0"/>
    </xf>
    <xf numFmtId="1" fontId="31" fillId="0" borderId="8" xfId="3" applyNumberFormat="1" applyFont="1" applyBorder="1" applyAlignment="1" applyProtection="1">
      <alignment horizontal="right" vertical="center"/>
      <protection locked="0"/>
    </xf>
    <xf numFmtId="1" fontId="31" fillId="0" borderId="9" xfId="3" applyNumberFormat="1" applyFont="1" applyBorder="1" applyAlignment="1" applyProtection="1">
      <alignment horizontal="center" vertical="center"/>
      <protection locked="0"/>
    </xf>
    <xf numFmtId="0" fontId="31" fillId="5" borderId="8" xfId="3" applyFont="1" applyFill="1" applyBorder="1" applyAlignment="1" applyProtection="1">
      <alignment horizontal="right" vertical="center"/>
      <protection locked="0"/>
    </xf>
    <xf numFmtId="0" fontId="31" fillId="5" borderId="9" xfId="3" applyFont="1" applyFill="1" applyBorder="1" applyAlignment="1" applyProtection="1">
      <alignment horizontal="center" vertical="center"/>
      <protection locked="0"/>
    </xf>
    <xf numFmtId="0" fontId="31" fillId="6" borderId="8" xfId="3" applyFont="1" applyFill="1" applyBorder="1" applyAlignment="1" applyProtection="1">
      <alignment horizontal="center" vertical="center"/>
      <protection locked="0"/>
    </xf>
    <xf numFmtId="0" fontId="31" fillId="6" borderId="9" xfId="3" applyFont="1" applyFill="1" applyBorder="1" applyAlignment="1" applyProtection="1">
      <alignment horizontal="left" vertical="center"/>
      <protection locked="0"/>
    </xf>
    <xf numFmtId="1" fontId="56" fillId="0" borderId="16" xfId="3" applyNumberFormat="1" applyFont="1" applyBorder="1" applyAlignment="1" applyProtection="1">
      <alignment horizontal="center" vertical="center"/>
      <protection locked="0"/>
    </xf>
    <xf numFmtId="2" fontId="56" fillId="5" borderId="8" xfId="3" applyNumberFormat="1" applyFont="1" applyFill="1" applyBorder="1" applyAlignment="1" applyProtection="1">
      <alignment horizontal="right" vertical="center"/>
      <protection locked="0"/>
    </xf>
    <xf numFmtId="0" fontId="56" fillId="5" borderId="9" xfId="3" applyFont="1" applyFill="1" applyBorder="1" applyAlignment="1" applyProtection="1">
      <alignment horizontal="left" vertical="center"/>
      <protection locked="0"/>
    </xf>
    <xf numFmtId="170" fontId="56" fillId="6" borderId="8" xfId="3" applyNumberFormat="1" applyFont="1" applyFill="1" applyBorder="1" applyAlignment="1" applyProtection="1">
      <alignment horizontal="center" vertical="center"/>
      <protection locked="0"/>
    </xf>
    <xf numFmtId="0" fontId="56" fillId="6" borderId="9" xfId="3" applyFont="1" applyFill="1" applyBorder="1" applyAlignment="1" applyProtection="1">
      <alignment horizontal="left" vertical="center"/>
      <protection locked="0"/>
    </xf>
    <xf numFmtId="169" fontId="56" fillId="0" borderId="7" xfId="3" applyNumberFormat="1" applyFont="1" applyBorder="1" applyAlignment="1" applyProtection="1">
      <alignment horizontal="center" vertical="center"/>
      <protection locked="0"/>
    </xf>
    <xf numFmtId="0" fontId="56" fillId="5" borderId="8" xfId="3" applyFont="1" applyFill="1" applyBorder="1" applyAlignment="1" applyProtection="1">
      <alignment horizontal="right" vertical="center"/>
      <protection locked="0"/>
    </xf>
    <xf numFmtId="170" fontId="56" fillId="20" borderId="8" xfId="3" applyNumberFormat="1" applyFont="1" applyFill="1" applyBorder="1" applyAlignment="1" applyProtection="1">
      <alignment horizontal="right" vertical="center"/>
      <protection locked="0"/>
    </xf>
    <xf numFmtId="0" fontId="56" fillId="20" borderId="9" xfId="3" applyFont="1" applyFill="1" applyBorder="1" applyAlignment="1" applyProtection="1">
      <alignment horizontal="left" vertical="center"/>
      <protection locked="0"/>
    </xf>
    <xf numFmtId="2" fontId="31" fillId="0" borderId="8" xfId="3" applyNumberFormat="1" applyFont="1" applyBorder="1" applyAlignment="1" applyProtection="1">
      <alignment horizontal="right" vertical="center"/>
      <protection locked="0"/>
    </xf>
    <xf numFmtId="1" fontId="56" fillId="0" borderId="7" xfId="3" applyNumberFormat="1" applyFont="1" applyBorder="1" applyAlignment="1" applyProtection="1">
      <alignment horizontal="center" vertical="center"/>
      <protection locked="0"/>
    </xf>
    <xf numFmtId="0" fontId="31" fillId="5" borderId="9" xfId="3" applyFont="1" applyFill="1" applyBorder="1" applyAlignment="1" applyProtection="1">
      <alignment horizontal="right" vertical="center"/>
      <protection locked="0"/>
    </xf>
    <xf numFmtId="0" fontId="13" fillId="0" borderId="0" xfId="3" applyFont="1" applyAlignment="1" applyProtection="1">
      <alignment horizontal="center"/>
      <protection locked="0"/>
    </xf>
    <xf numFmtId="166" fontId="13" fillId="7" borderId="0" xfId="4" applyNumberFormat="1" applyFont="1" applyFill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66" fontId="13" fillId="5" borderId="0" xfId="3" applyNumberFormat="1" applyFont="1" applyFill="1" applyAlignment="1">
      <alignment horizontal="center" vertical="center"/>
    </xf>
    <xf numFmtId="0" fontId="13" fillId="0" borderId="0" xfId="3" applyFont="1" applyAlignment="1">
      <alignment horizontal="center" vertical="center" shrinkToFit="1"/>
    </xf>
    <xf numFmtId="0" fontId="13" fillId="0" borderId="0" xfId="3" applyFont="1" applyAlignment="1">
      <alignment vertical="center"/>
    </xf>
    <xf numFmtId="0" fontId="13" fillId="9" borderId="0" xfId="4" applyFont="1" applyFill="1" applyAlignment="1">
      <alignment horizontal="left" vertical="center" shrinkToFit="1"/>
    </xf>
    <xf numFmtId="0" fontId="61" fillId="0" borderId="0" xfId="5" applyFont="1" applyAlignment="1">
      <alignment vertical="center"/>
    </xf>
    <xf numFmtId="0" fontId="63" fillId="0" borderId="0" xfId="5" applyFont="1" applyAlignment="1">
      <alignment horizontal="center" vertical="center"/>
    </xf>
    <xf numFmtId="0" fontId="8" fillId="0" borderId="0" xfId="5" applyFont="1" applyAlignment="1">
      <alignment vertical="center"/>
    </xf>
    <xf numFmtId="0" fontId="64" fillId="0" borderId="0" xfId="5" applyFont="1" applyAlignment="1">
      <alignment vertical="center"/>
    </xf>
    <xf numFmtId="0" fontId="18" fillId="0" borderId="0" xfId="5" applyFont="1" applyBorder="1" applyAlignment="1">
      <alignment vertical="center"/>
    </xf>
    <xf numFmtId="0" fontId="18" fillId="0" borderId="0" xfId="5" applyFont="1" applyAlignment="1">
      <alignment vertical="center"/>
    </xf>
    <xf numFmtId="0" fontId="18" fillId="0" borderId="0" xfId="5" applyFont="1" applyAlignment="1">
      <alignment horizontal="center" vertical="center"/>
    </xf>
    <xf numFmtId="0" fontId="9" fillId="0" borderId="0" xfId="5" applyFont="1" applyBorder="1" applyAlignment="1">
      <alignment vertical="center"/>
    </xf>
    <xf numFmtId="0" fontId="9" fillId="0" borderId="0" xfId="5" applyFont="1" applyAlignment="1">
      <alignment vertical="center"/>
    </xf>
    <xf numFmtId="0" fontId="18" fillId="0" borderId="0" xfId="5" applyFont="1" applyAlignment="1">
      <alignment horizontal="right" vertical="center"/>
    </xf>
    <xf numFmtId="0" fontId="18" fillId="0" borderId="0" xfId="5" applyFont="1" applyBorder="1" applyAlignment="1">
      <alignment horizontal="center" vertical="center"/>
    </xf>
    <xf numFmtId="0" fontId="18" fillId="0" borderId="0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65" fillId="0" borderId="0" xfId="19" applyFont="1" applyBorder="1" applyAlignment="1">
      <alignment horizontal="left" vertical="center"/>
    </xf>
    <xf numFmtId="0" fontId="9" fillId="0" borderId="0" xfId="19" applyFont="1" applyBorder="1" applyAlignment="1">
      <alignment horizontal="left" vertical="center"/>
    </xf>
    <xf numFmtId="0" fontId="8" fillId="0" borderId="0" xfId="19" applyFont="1" applyBorder="1" applyAlignment="1">
      <alignment horizontal="left" vertical="center"/>
    </xf>
    <xf numFmtId="0" fontId="8" fillId="0" borderId="0" xfId="5" applyFont="1" applyBorder="1" applyAlignment="1">
      <alignment vertical="center"/>
    </xf>
    <xf numFmtId="0" fontId="9" fillId="0" borderId="0" xfId="2" applyFont="1" applyBorder="1" applyAlignment="1">
      <alignment horizontal="left" vertical="center"/>
    </xf>
    <xf numFmtId="0" fontId="9" fillId="0" borderId="0" xfId="19" applyFont="1" applyFill="1" applyBorder="1" applyAlignment="1">
      <alignment horizontal="left" vertical="center"/>
    </xf>
    <xf numFmtId="0" fontId="64" fillId="0" borderId="0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8" fillId="0" borderId="2" xfId="5" applyFont="1" applyBorder="1" applyAlignment="1">
      <alignment horizontal="center" vertical="center"/>
    </xf>
    <xf numFmtId="0" fontId="9" fillId="0" borderId="2" xfId="5" applyFont="1" applyBorder="1" applyAlignment="1">
      <alignment vertical="center"/>
    </xf>
    <xf numFmtId="0" fontId="9" fillId="0" borderId="2" xfId="19" applyFont="1" applyBorder="1" applyAlignment="1">
      <alignment horizontal="left" vertical="center"/>
    </xf>
    <xf numFmtId="164" fontId="8" fillId="0" borderId="0" xfId="7" applyFont="1" applyFill="1" applyBorder="1" applyAlignment="1" applyProtection="1">
      <alignment vertical="center"/>
      <protection locked="0"/>
    </xf>
    <xf numFmtId="0" fontId="8" fillId="0" borderId="0" xfId="5" applyFont="1" applyBorder="1" applyAlignment="1">
      <alignment horizontal="left" vertical="center"/>
    </xf>
    <xf numFmtId="0" fontId="18" fillId="0" borderId="0" xfId="2" applyFont="1" applyBorder="1" applyAlignment="1">
      <alignment horizontal="center" vertical="center"/>
    </xf>
    <xf numFmtId="0" fontId="18" fillId="0" borderId="0" xfId="19" applyFont="1" applyFill="1" applyBorder="1" applyAlignment="1">
      <alignment horizontal="left"/>
    </xf>
    <xf numFmtId="0" fontId="8" fillId="0" borderId="0" xfId="5" applyFont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18" fillId="0" borderId="0" xfId="2" applyFont="1" applyBorder="1" applyAlignment="1">
      <alignment horizontal="left" vertical="center"/>
    </xf>
    <xf numFmtId="1" fontId="9" fillId="0" borderId="0" xfId="2" quotePrefix="1" applyNumberFormat="1" applyFont="1" applyBorder="1" applyAlignment="1">
      <alignment horizontal="left" vertical="center"/>
    </xf>
    <xf numFmtId="1" fontId="18" fillId="0" borderId="0" xfId="2" applyNumberFormat="1" applyFont="1" applyBorder="1" applyAlignment="1">
      <alignment horizontal="left" vertical="center"/>
    </xf>
    <xf numFmtId="0" fontId="18" fillId="0" borderId="0" xfId="5" applyFont="1" applyAlignment="1">
      <alignment horizontal="left" vertical="center"/>
    </xf>
    <xf numFmtId="165" fontId="9" fillId="0" borderId="0" xfId="2" applyNumberFormat="1" applyFont="1" applyBorder="1" applyAlignment="1">
      <alignment horizontal="left" vertical="center"/>
    </xf>
    <xf numFmtId="0" fontId="9" fillId="0" borderId="0" xfId="5" applyFont="1" applyAlignment="1">
      <alignment horizontal="center" vertical="center"/>
    </xf>
    <xf numFmtId="0" fontId="3" fillId="0" borderId="0" xfId="5" applyFont="1" applyAlignment="1">
      <alignment vertical="center"/>
    </xf>
    <xf numFmtId="0" fontId="3" fillId="0" borderId="0" xfId="2" applyFont="1" applyBorder="1" applyAlignment="1">
      <alignment horizontal="left" vertical="center"/>
    </xf>
    <xf numFmtId="9" fontId="3" fillId="0" borderId="0" xfId="2" applyNumberFormat="1" applyFont="1" applyBorder="1" applyAlignment="1">
      <alignment horizontal="left" vertical="center"/>
    </xf>
    <xf numFmtId="0" fontId="9" fillId="0" borderId="0" xfId="5" quotePrefix="1" applyFont="1" applyAlignment="1">
      <alignment vertical="center"/>
    </xf>
    <xf numFmtId="0" fontId="9" fillId="0" borderId="0" xfId="8" applyFont="1" applyBorder="1" applyAlignment="1">
      <alignment vertical="center"/>
    </xf>
    <xf numFmtId="0" fontId="8" fillId="0" borderId="0" xfId="8" applyFont="1" applyBorder="1" applyAlignment="1">
      <alignment vertical="center"/>
    </xf>
    <xf numFmtId="0" fontId="8" fillId="0" borderId="0" xfId="5" applyFont="1" applyBorder="1" applyAlignment="1">
      <alignment horizontal="center" vertical="center"/>
    </xf>
    <xf numFmtId="0" fontId="9" fillId="0" borderId="0" xfId="5" applyFont="1" applyAlignment="1">
      <alignment vertical="top" wrapText="1"/>
    </xf>
    <xf numFmtId="0" fontId="9" fillId="0" borderId="0" xfId="5" applyFont="1" applyAlignment="1">
      <alignment horizontal="left" vertical="center"/>
    </xf>
    <xf numFmtId="0" fontId="9" fillId="0" borderId="0" xfId="5" applyFont="1" applyBorder="1" applyAlignment="1">
      <alignment horizontal="center" vertical="center"/>
    </xf>
    <xf numFmtId="0" fontId="66" fillId="0" borderId="0" xfId="5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9" fillId="0" borderId="0" xfId="5" applyFont="1" applyBorder="1" applyAlignment="1">
      <alignment horizontal="center" vertical="center"/>
    </xf>
    <xf numFmtId="165" fontId="9" fillId="0" borderId="0" xfId="5" applyNumberFormat="1" applyFont="1" applyAlignment="1">
      <alignment vertical="center"/>
    </xf>
    <xf numFmtId="0" fontId="64" fillId="0" borderId="0" xfId="5" applyFont="1" applyAlignment="1">
      <alignment horizontal="right" vertical="center"/>
    </xf>
    <xf numFmtId="2" fontId="9" fillId="0" borderId="0" xfId="2" applyNumberFormat="1" applyFont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0" fontId="9" fillId="0" borderId="4" xfId="5" applyFont="1" applyBorder="1" applyAlignment="1">
      <alignment vertical="center"/>
    </xf>
    <xf numFmtId="0" fontId="68" fillId="0" borderId="0" xfId="5" applyFont="1" applyBorder="1" applyAlignment="1">
      <alignment vertical="center"/>
    </xf>
    <xf numFmtId="0" fontId="69" fillId="0" borderId="0" xfId="5" applyFont="1" applyBorder="1" applyAlignment="1">
      <alignment vertical="center"/>
    </xf>
    <xf numFmtId="0" fontId="8" fillId="0" borderId="0" xfId="5" quotePrefix="1" applyFont="1" applyBorder="1" applyAlignment="1">
      <alignment vertical="center" shrinkToFit="1"/>
    </xf>
    <xf numFmtId="0" fontId="69" fillId="0" borderId="0" xfId="5" applyFont="1" applyAlignment="1">
      <alignment vertical="center"/>
    </xf>
    <xf numFmtId="0" fontId="69" fillId="0" borderId="0" xfId="5" applyFont="1" applyBorder="1" applyAlignment="1">
      <alignment horizontal="center" vertical="center"/>
    </xf>
    <xf numFmtId="0" fontId="66" fillId="0" borderId="0" xfId="5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69" fillId="0" borderId="0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70" fillId="0" borderId="0" xfId="19" applyFont="1" applyBorder="1" applyAlignment="1">
      <alignment horizontal="left" vertical="center"/>
    </xf>
    <xf numFmtId="0" fontId="10" fillId="0" borderId="2" xfId="5" applyFont="1" applyBorder="1" applyAlignment="1">
      <alignment vertical="center"/>
    </xf>
    <xf numFmtId="0" fontId="69" fillId="0" borderId="2" xfId="5" applyFont="1" applyBorder="1" applyAlignment="1">
      <alignment vertical="center"/>
    </xf>
    <xf numFmtId="0" fontId="69" fillId="0" borderId="2" xfId="5" applyFont="1" applyBorder="1" applyAlignment="1">
      <alignment horizontal="center" vertical="center"/>
    </xf>
    <xf numFmtId="0" fontId="72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64" fillId="0" borderId="2" xfId="5" applyFont="1" applyBorder="1" applyAlignment="1">
      <alignment vertical="center"/>
    </xf>
    <xf numFmtId="0" fontId="64" fillId="0" borderId="0" xfId="19" applyFont="1" applyBorder="1" applyAlignment="1">
      <alignment horizontal="left" vertical="center"/>
    </xf>
    <xf numFmtId="0" fontId="64" fillId="0" borderId="0" xfId="5" applyFont="1" applyAlignment="1">
      <alignment horizontal="center" vertical="center"/>
    </xf>
    <xf numFmtId="0" fontId="64" fillId="0" borderId="0" xfId="2" applyFont="1" applyBorder="1" applyAlignment="1">
      <alignment vertical="center"/>
    </xf>
    <xf numFmtId="0" fontId="69" fillId="0" borderId="0" xfId="5" applyFont="1" applyAlignment="1">
      <alignment horizontal="left" vertical="center"/>
    </xf>
    <xf numFmtId="0" fontId="66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left" vertical="center"/>
    </xf>
    <xf numFmtId="0" fontId="69" fillId="0" borderId="0" xfId="2" applyFont="1" applyBorder="1" applyAlignment="1">
      <alignment horizontal="center" vertical="center"/>
    </xf>
    <xf numFmtId="0" fontId="69" fillId="0" borderId="0" xfId="2" applyFont="1" applyBorder="1" applyAlignment="1">
      <alignment horizontal="left" vertical="center"/>
    </xf>
    <xf numFmtId="0" fontId="10" fillId="0" borderId="0" xfId="5" applyFont="1" applyBorder="1" applyAlignment="1">
      <alignment vertical="center"/>
    </xf>
    <xf numFmtId="0" fontId="72" fillId="0" borderId="0" xfId="5" applyFont="1" applyAlignment="1">
      <alignment vertical="center"/>
    </xf>
    <xf numFmtId="165" fontId="19" fillId="0" borderId="0" xfId="2" applyNumberFormat="1" applyFont="1" applyBorder="1" applyAlignment="1">
      <alignment horizontal="left" vertical="center"/>
    </xf>
    <xf numFmtId="0" fontId="72" fillId="0" borderId="0" xfId="2" applyFont="1" applyBorder="1" applyAlignment="1">
      <alignment vertical="center"/>
    </xf>
    <xf numFmtId="0" fontId="66" fillId="0" borderId="0" xfId="5" applyFont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66" fillId="0" borderId="0" xfId="5" applyFont="1" applyBorder="1" applyAlignment="1">
      <alignment horizontal="center" vertical="center"/>
    </xf>
    <xf numFmtId="0" fontId="73" fillId="0" borderId="0" xfId="5" applyFont="1" applyAlignment="1">
      <alignment vertical="center"/>
    </xf>
    <xf numFmtId="0" fontId="73" fillId="0" borderId="0" xfId="5" applyFont="1" applyBorder="1" applyAlignment="1">
      <alignment vertical="center"/>
    </xf>
    <xf numFmtId="0" fontId="8" fillId="0" borderId="0" xfId="20" applyFont="1" applyBorder="1" applyAlignment="1">
      <alignment vertical="center"/>
    </xf>
    <xf numFmtId="0" fontId="9" fillId="0" borderId="0" xfId="5" quotePrefix="1" applyFont="1" applyBorder="1" applyAlignment="1">
      <alignment vertical="center"/>
    </xf>
    <xf numFmtId="0" fontId="19" fillId="0" borderId="0" xfId="5" quotePrefix="1" applyFont="1" applyBorder="1" applyAlignment="1">
      <alignment vertical="center"/>
    </xf>
    <xf numFmtId="165" fontId="64" fillId="0" borderId="0" xfId="5" applyNumberFormat="1" applyFont="1" applyBorder="1" applyAlignment="1">
      <alignment vertical="center"/>
    </xf>
    <xf numFmtId="2" fontId="64" fillId="0" borderId="0" xfId="2" applyNumberFormat="1" applyFont="1" applyBorder="1" applyAlignment="1">
      <alignment vertical="center"/>
    </xf>
    <xf numFmtId="1" fontId="64" fillId="0" borderId="0" xfId="2" applyNumberFormat="1" applyFont="1" applyBorder="1" applyAlignment="1">
      <alignment vertical="center"/>
    </xf>
    <xf numFmtId="165" fontId="19" fillId="0" borderId="0" xfId="5" applyNumberFormat="1" applyFont="1" applyBorder="1" applyAlignment="1">
      <alignment vertical="center"/>
    </xf>
    <xf numFmtId="0" fontId="9" fillId="0" borderId="0" xfId="2" applyNumberFormat="1" applyFont="1" applyBorder="1" applyAlignment="1">
      <alignment vertical="center"/>
    </xf>
    <xf numFmtId="0" fontId="18" fillId="0" borderId="0" xfId="2" applyNumberFormat="1" applyFont="1" applyBorder="1" applyAlignment="1">
      <alignment vertical="center"/>
    </xf>
    <xf numFmtId="0" fontId="9" fillId="0" borderId="0" xfId="2" applyNumberFormat="1" applyFont="1" applyAlignment="1">
      <alignment vertical="center"/>
    </xf>
    <xf numFmtId="0" fontId="9" fillId="0" borderId="0" xfId="5" applyNumberFormat="1" applyFont="1" applyBorder="1" applyAlignment="1">
      <alignment vertical="center"/>
    </xf>
    <xf numFmtId="0" fontId="9" fillId="0" borderId="0" xfId="2" applyFont="1"/>
    <xf numFmtId="0" fontId="8" fillId="0" borderId="0" xfId="2" applyFont="1"/>
    <xf numFmtId="0" fontId="74" fillId="0" borderId="0" xfId="2" applyNumberFormat="1" applyFont="1" applyAlignment="1">
      <alignment vertical="center"/>
    </xf>
    <xf numFmtId="0" fontId="75" fillId="0" borderId="0" xfId="2" applyFont="1"/>
    <xf numFmtId="0" fontId="5" fillId="9" borderId="0" xfId="21" applyFont="1" applyFill="1" applyBorder="1" applyAlignment="1" applyProtection="1">
      <alignment vertical="center"/>
    </xf>
    <xf numFmtId="0" fontId="5" fillId="9" borderId="0" xfId="21" applyFont="1" applyFill="1" applyBorder="1" applyAlignment="1" applyProtection="1">
      <alignment vertical="center" wrapText="1"/>
    </xf>
    <xf numFmtId="0" fontId="25" fillId="9" borderId="0" xfId="21" applyFont="1" applyFill="1" applyBorder="1" applyAlignment="1" applyProtection="1">
      <alignment horizontal="right" vertical="center"/>
    </xf>
    <xf numFmtId="0" fontId="11" fillId="9" borderId="0" xfId="21" applyFont="1" applyFill="1" applyAlignment="1" applyProtection="1">
      <alignment vertical="center"/>
    </xf>
    <xf numFmtId="0" fontId="11" fillId="9" borderId="0" xfId="21" applyFont="1" applyFill="1" applyBorder="1" applyAlignment="1" applyProtection="1">
      <alignment vertical="center"/>
    </xf>
    <xf numFmtId="169" fontId="76" fillId="9" borderId="0" xfId="21" applyNumberFormat="1" applyFont="1" applyFill="1" applyBorder="1" applyAlignment="1" applyProtection="1">
      <alignment vertical="center"/>
    </xf>
    <xf numFmtId="2" fontId="8" fillId="0" borderId="0" xfId="2" applyNumberFormat="1" applyFont="1" applyAlignment="1"/>
    <xf numFmtId="0" fontId="9" fillId="0" borderId="0" xfId="0" applyFont="1" applyBorder="1" applyAlignment="1">
      <alignment vertical="center"/>
    </xf>
    <xf numFmtId="0" fontId="7" fillId="0" borderId="0" xfId="1" applyFont="1" applyFill="1" applyAlignment="1"/>
    <xf numFmtId="0" fontId="7" fillId="0" borderId="0" xfId="1" applyFont="1" applyFill="1" applyBorder="1" applyAlignment="1"/>
    <xf numFmtId="0" fontId="7" fillId="0" borderId="0" xfId="1" applyFont="1" applyFill="1" applyAlignment="1">
      <alignment horizontal="center"/>
    </xf>
    <xf numFmtId="0" fontId="7" fillId="0" borderId="0" xfId="1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2" quotePrefix="1" applyFont="1" applyBorder="1" applyAlignment="1">
      <alignment horizontal="left" vertical="center"/>
    </xf>
    <xf numFmtId="1" fontId="9" fillId="0" borderId="0" xfId="2" applyNumberFormat="1" applyFont="1" applyBorder="1" applyAlignment="1">
      <alignment horizontal="left" vertical="center"/>
    </xf>
    <xf numFmtId="0" fontId="7" fillId="0" borderId="2" xfId="1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9" fillId="0" borderId="0" xfId="5" applyFont="1" applyAlignment="1">
      <alignment horizontal="center" vertical="center"/>
    </xf>
    <xf numFmtId="0" fontId="9" fillId="0" borderId="0" xfId="5" applyFont="1" applyBorder="1" applyAlignment="1">
      <alignment horizontal="center" vertical="center"/>
    </xf>
    <xf numFmtId="0" fontId="19" fillId="0" borderId="0" xfId="5" applyFont="1" applyBorder="1" applyAlignment="1">
      <alignment horizontal="center" vertical="center"/>
    </xf>
    <xf numFmtId="166" fontId="5" fillId="3" borderId="0" xfId="0" applyNumberFormat="1" applyFont="1" applyFill="1" applyBorder="1" applyAlignment="1">
      <alignment horizontal="center" vertical="center"/>
    </xf>
    <xf numFmtId="0" fontId="92" fillId="5" borderId="0" xfId="0" applyFont="1" applyFill="1" applyAlignment="1">
      <alignment horizontal="center" vertical="center"/>
    </xf>
    <xf numFmtId="166" fontId="91" fillId="3" borderId="0" xfId="0" applyNumberFormat="1" applyFont="1" applyFill="1" applyBorder="1" applyAlignment="1">
      <alignment horizontal="center" vertical="center"/>
    </xf>
    <xf numFmtId="11" fontId="93" fillId="6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 applyBorder="1" applyAlignment="1">
      <alignment horizontal="right" vertical="center"/>
    </xf>
    <xf numFmtId="167" fontId="5" fillId="3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right" vertical="top"/>
    </xf>
    <xf numFmtId="166" fontId="5" fillId="3" borderId="0" xfId="0" applyNumberFormat="1" applyFont="1" applyFill="1" applyBorder="1" applyAlignment="1">
      <alignment horizontal="left" vertical="center"/>
    </xf>
    <xf numFmtId="0" fontId="80" fillId="0" borderId="0" xfId="0" applyFont="1" applyFill="1" applyBorder="1" applyAlignment="1">
      <alignment horizontal="right" vertical="center"/>
    </xf>
    <xf numFmtId="0" fontId="84" fillId="0" borderId="0" xfId="0" applyFont="1" applyFill="1" applyBorder="1" applyAlignment="1">
      <alignment horizontal="left" vertical="center"/>
    </xf>
    <xf numFmtId="166" fontId="85" fillId="3" borderId="0" xfId="0" applyNumberFormat="1" applyFont="1" applyFill="1" applyBorder="1" applyAlignment="1">
      <alignment horizontal="center" vertical="center"/>
    </xf>
    <xf numFmtId="0" fontId="96" fillId="0" borderId="0" xfId="0" applyFont="1" applyBorder="1" applyAlignment="1">
      <alignment vertical="center"/>
    </xf>
    <xf numFmtId="0" fontId="3" fillId="0" borderId="0" xfId="1" applyFont="1" applyFill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3" fillId="0" borderId="0" xfId="0" applyFont="1" applyFill="1" applyAlignment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75" fillId="0" borderId="0" xfId="0" applyFont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0" fontId="75" fillId="0" borderId="0" xfId="0" applyFont="1" applyBorder="1" applyAlignment="1">
      <alignment vertical="center"/>
    </xf>
    <xf numFmtId="0" fontId="11" fillId="0" borderId="0" xfId="4"/>
    <xf numFmtId="0" fontId="18" fillId="0" borderId="0" xfId="5" applyNumberFormat="1" applyFont="1" applyAlignment="1">
      <alignment vertical="center"/>
    </xf>
    <xf numFmtId="0" fontId="3" fillId="0" borderId="0" xfId="4" applyFont="1"/>
    <xf numFmtId="0" fontId="19" fillId="0" borderId="0" xfId="2" applyNumberFormat="1" applyFont="1" applyAlignment="1">
      <alignment vertical="center"/>
    </xf>
    <xf numFmtId="0" fontId="96" fillId="0" borderId="0" xfId="2" applyNumberFormat="1" applyFont="1" applyBorder="1" applyAlignment="1">
      <alignment horizontal="left" vertical="center"/>
    </xf>
    <xf numFmtId="0" fontId="19" fillId="0" borderId="0" xfId="2" applyNumberFormat="1" applyFont="1" applyBorder="1" applyAlignment="1">
      <alignment vertical="center"/>
    </xf>
    <xf numFmtId="0" fontId="66" fillId="0" borderId="0" xfId="2" applyNumberFormat="1" applyFont="1" applyBorder="1" applyAlignment="1">
      <alignment vertical="center"/>
    </xf>
    <xf numFmtId="0" fontId="19" fillId="0" borderId="0" xfId="2" applyNumberFormat="1" applyFont="1" applyBorder="1" applyAlignment="1">
      <alignment horizontal="right" vertical="center"/>
    </xf>
    <xf numFmtId="0" fontId="9" fillId="0" borderId="0" xfId="2" applyNumberFormat="1" applyFont="1" applyBorder="1" applyAlignment="1"/>
    <xf numFmtId="0" fontId="11" fillId="0" borderId="0" xfId="2"/>
    <xf numFmtId="0" fontId="97" fillId="0" borderId="0" xfId="2" applyFont="1" applyBorder="1" applyAlignment="1">
      <alignment horizontal="left" vertical="center"/>
    </xf>
    <xf numFmtId="0" fontId="68" fillId="0" borderId="0" xfId="2" applyFont="1" applyBorder="1" applyAlignment="1">
      <alignment horizontal="center" vertical="center"/>
    </xf>
    <xf numFmtId="176" fontId="68" fillId="0" borderId="0" xfId="2" applyNumberFormat="1" applyFont="1" applyBorder="1" applyAlignment="1">
      <alignment horizontal="left" vertical="center"/>
    </xf>
    <xf numFmtId="0" fontId="98" fillId="0" borderId="0" xfId="5" applyFont="1" applyAlignment="1">
      <alignment vertical="center"/>
    </xf>
    <xf numFmtId="0" fontId="68" fillId="0" borderId="0" xfId="2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8" fillId="0" borderId="0" xfId="2" applyFont="1" applyBorder="1" applyAlignment="1">
      <alignment vertical="center"/>
    </xf>
    <xf numFmtId="0" fontId="9" fillId="0" borderId="0" xfId="4" applyFont="1" applyBorder="1" applyAlignment="1">
      <alignment vertical="center" shrinkToFit="1"/>
    </xf>
    <xf numFmtId="0" fontId="9" fillId="0" borderId="0" xfId="4" applyFont="1" applyBorder="1" applyAlignment="1">
      <alignment vertical="center"/>
    </xf>
    <xf numFmtId="0" fontId="9" fillId="0" borderId="0" xfId="4" applyFont="1" applyAlignment="1">
      <alignment vertical="center"/>
    </xf>
    <xf numFmtId="0" fontId="9" fillId="0" borderId="0" xfId="5" quotePrefix="1" applyFont="1" applyBorder="1" applyAlignment="1">
      <alignment horizontal="center" vertical="center"/>
    </xf>
    <xf numFmtId="177" fontId="9" fillId="0" borderId="0" xfId="5" applyNumberFormat="1" applyFont="1" applyBorder="1" applyAlignment="1">
      <alignment horizontal="center" vertical="center"/>
    </xf>
    <xf numFmtId="0" fontId="102" fillId="21" borderId="16" xfId="0" applyFont="1" applyFill="1" applyBorder="1" applyAlignment="1">
      <alignment horizontal="center" vertical="center"/>
    </xf>
    <xf numFmtId="0" fontId="105" fillId="21" borderId="17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4" borderId="7" xfId="0" applyFont="1" applyFill="1" applyBorder="1" applyAlignment="1">
      <alignment horizontal="center" vertical="center"/>
    </xf>
    <xf numFmtId="0" fontId="31" fillId="11" borderId="16" xfId="0" applyFont="1" applyFill="1" applyBorder="1" applyAlignment="1">
      <alignment horizontal="center" vertical="center"/>
    </xf>
    <xf numFmtId="0" fontId="31" fillId="21" borderId="7" xfId="0" applyFont="1" applyFill="1" applyBorder="1" applyAlignment="1">
      <alignment horizontal="center" vertical="center"/>
    </xf>
    <xf numFmtId="172" fontId="43" fillId="3" borderId="7" xfId="0" applyNumberFormat="1" applyFont="1" applyFill="1" applyBorder="1" applyAlignment="1">
      <alignment horizontal="center" vertical="center"/>
    </xf>
    <xf numFmtId="167" fontId="44" fillId="3" borderId="7" xfId="0" applyNumberFormat="1" applyFont="1" applyFill="1" applyBorder="1" applyAlignment="1">
      <alignment horizontal="center" vertical="center"/>
    </xf>
    <xf numFmtId="169" fontId="46" fillId="21" borderId="7" xfId="0" applyNumberFormat="1" applyFont="1" applyFill="1" applyBorder="1" applyAlignment="1">
      <alignment horizontal="center" vertical="center"/>
    </xf>
    <xf numFmtId="0" fontId="107" fillId="3" borderId="0" xfId="12" applyFont="1" applyFill="1" applyBorder="1" applyAlignment="1">
      <alignment horizontal="center" vertical="center"/>
    </xf>
    <xf numFmtId="166" fontId="9" fillId="3" borderId="0" xfId="12" applyNumberFormat="1" applyFont="1" applyFill="1" applyBorder="1" applyAlignment="1">
      <alignment horizontal="center" vertical="center"/>
    </xf>
    <xf numFmtId="0" fontId="108" fillId="3" borderId="0" xfId="12" applyFont="1" applyFill="1" applyBorder="1" applyAlignment="1">
      <alignment horizontal="center" vertical="center"/>
    </xf>
    <xf numFmtId="0" fontId="9" fillId="3" borderId="0" xfId="12" applyFont="1" applyFill="1" applyBorder="1" applyAlignment="1">
      <alignment horizontal="center" vertical="center"/>
    </xf>
    <xf numFmtId="2" fontId="108" fillId="3" borderId="0" xfId="12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" fontId="9" fillId="3" borderId="0" xfId="12" applyNumberFormat="1" applyFont="1" applyFill="1" applyBorder="1" applyAlignment="1">
      <alignment horizontal="center" vertical="center"/>
    </xf>
    <xf numFmtId="166" fontId="108" fillId="3" borderId="0" xfId="12" applyNumberFormat="1" applyFont="1" applyFill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168" fontId="9" fillId="0" borderId="3" xfId="0" applyNumberFormat="1" applyFont="1" applyBorder="1" applyAlignment="1">
      <alignment horizontal="center" vertical="center"/>
    </xf>
    <xf numFmtId="168" fontId="9" fillId="0" borderId="9" xfId="0" applyNumberFormat="1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7" fillId="19" borderId="2" xfId="0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79" fillId="15" borderId="0" xfId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0" borderId="2" xfId="1" applyFont="1" applyFill="1" applyBorder="1" applyAlignment="1">
      <alignment horizontal="left"/>
    </xf>
    <xf numFmtId="177" fontId="7" fillId="0" borderId="3" xfId="1" applyNumberFormat="1" applyFont="1" applyFill="1" applyBorder="1" applyAlignment="1">
      <alignment horizontal="left"/>
    </xf>
    <xf numFmtId="169" fontId="19" fillId="0" borderId="5" xfId="0" applyNumberFormat="1" applyFont="1" applyBorder="1" applyAlignment="1">
      <alignment horizontal="center" vertical="center"/>
    </xf>
    <xf numFmtId="169" fontId="19" fillId="0" borderId="4" xfId="0" applyNumberFormat="1" applyFont="1" applyBorder="1" applyAlignment="1">
      <alignment horizontal="center" vertical="center"/>
    </xf>
    <xf numFmtId="169" fontId="19" fillId="0" borderId="1" xfId="0" applyNumberFormat="1" applyFont="1" applyBorder="1" applyAlignment="1">
      <alignment horizontal="center" vertical="center"/>
    </xf>
    <xf numFmtId="169" fontId="19" fillId="0" borderId="0" xfId="0" applyNumberFormat="1" applyFont="1" applyBorder="1" applyAlignment="1">
      <alignment horizontal="center" vertical="center"/>
    </xf>
    <xf numFmtId="169" fontId="19" fillId="0" borderId="10" xfId="0" applyNumberFormat="1" applyFont="1" applyBorder="1" applyAlignment="1">
      <alignment horizontal="center" vertical="center"/>
    </xf>
    <xf numFmtId="169" fontId="19" fillId="0" borderId="2" xfId="0" applyNumberFormat="1" applyFont="1" applyBorder="1" applyAlignment="1">
      <alignment horizontal="center" vertical="center"/>
    </xf>
    <xf numFmtId="170" fontId="9" fillId="0" borderId="5" xfId="0" applyNumberFormat="1" applyFont="1" applyBorder="1" applyAlignment="1">
      <alignment horizontal="center" vertical="center"/>
    </xf>
    <xf numFmtId="170" fontId="9" fillId="0" borderId="4" xfId="0" applyNumberFormat="1" applyFont="1" applyBorder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3" fillId="0" borderId="0" xfId="3" applyFont="1" applyAlignment="1">
      <alignment horizontal="center" vertical="center" shrinkToFit="1"/>
    </xf>
    <xf numFmtId="0" fontId="13" fillId="7" borderId="0" xfId="4" applyFont="1" applyFill="1" applyAlignment="1">
      <alignment horizontal="center" vertical="center"/>
    </xf>
    <xf numFmtId="0" fontId="13" fillId="8" borderId="0" xfId="3" applyFont="1" applyFill="1" applyAlignment="1">
      <alignment horizontal="center" vertical="center"/>
    </xf>
    <xf numFmtId="0" fontId="13" fillId="0" borderId="0" xfId="3" applyFont="1" applyAlignment="1">
      <alignment vertical="center"/>
    </xf>
    <xf numFmtId="168" fontId="13" fillId="7" borderId="0" xfId="4" applyNumberFormat="1" applyFont="1" applyFill="1" applyAlignment="1">
      <alignment horizontal="center" vertical="center" shrinkToFi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13" fillId="9" borderId="0" xfId="4" applyFont="1" applyFill="1" applyAlignment="1">
      <alignment vertical="center" shrinkToFit="1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3" fillId="7" borderId="0" xfId="3" applyFont="1" applyFill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0" fontId="9" fillId="0" borderId="6" xfId="0" applyNumberFormat="1" applyFont="1" applyBorder="1" applyAlignment="1">
      <alignment horizontal="center" vertical="center"/>
    </xf>
    <xf numFmtId="170" fontId="9" fillId="0" borderId="1" xfId="0" applyNumberFormat="1" applyFont="1" applyBorder="1" applyAlignment="1">
      <alignment horizontal="center" vertical="center"/>
    </xf>
    <xf numFmtId="170" fontId="9" fillId="0" borderId="0" xfId="0" applyNumberFormat="1" applyFont="1" applyBorder="1" applyAlignment="1">
      <alignment horizontal="center" vertical="center"/>
    </xf>
    <xf numFmtId="170" fontId="9" fillId="0" borderId="12" xfId="0" applyNumberFormat="1" applyFont="1" applyBorder="1" applyAlignment="1">
      <alignment horizontal="center" vertical="center"/>
    </xf>
    <xf numFmtId="170" fontId="9" fillId="0" borderId="10" xfId="0" applyNumberFormat="1" applyFont="1" applyBorder="1" applyAlignment="1">
      <alignment horizontal="center" vertical="center"/>
    </xf>
    <xf numFmtId="170" fontId="9" fillId="0" borderId="2" xfId="0" applyNumberFormat="1" applyFont="1" applyBorder="1" applyAlignment="1">
      <alignment horizontal="center" vertical="center"/>
    </xf>
    <xf numFmtId="170" fontId="9" fillId="0" borderId="11" xfId="0" applyNumberFormat="1" applyFont="1" applyBorder="1" applyAlignment="1">
      <alignment horizontal="center" vertical="center"/>
    </xf>
    <xf numFmtId="170" fontId="3" fillId="0" borderId="5" xfId="1" applyNumberFormat="1" applyFont="1" applyFill="1" applyBorder="1" applyAlignment="1">
      <alignment horizontal="center" vertical="center"/>
    </xf>
    <xf numFmtId="170" fontId="3" fillId="0" borderId="7" xfId="1" applyNumberFormat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170" fontId="3" fillId="0" borderId="10" xfId="1" applyNumberFormat="1" applyFont="1" applyFill="1" applyBorder="1" applyAlignment="1">
      <alignment horizontal="center" vertical="center"/>
    </xf>
    <xf numFmtId="170" fontId="9" fillId="0" borderId="13" xfId="0" applyNumberFormat="1" applyFont="1" applyBorder="1" applyAlignment="1">
      <alignment horizontal="center" vertical="center"/>
    </xf>
    <xf numFmtId="170" fontId="9" fillId="0" borderId="14" xfId="0" applyNumberFormat="1" applyFont="1" applyBorder="1" applyAlignment="1">
      <alignment horizontal="center" vertical="center"/>
    </xf>
    <xf numFmtId="170" fontId="9" fillId="0" borderId="15" xfId="0" applyNumberFormat="1" applyFont="1" applyBorder="1" applyAlignment="1">
      <alignment horizontal="center" vertical="center"/>
    </xf>
    <xf numFmtId="166" fontId="13" fillId="5" borderId="0" xfId="3" applyNumberFormat="1" applyFont="1" applyFill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3" fillId="0" borderId="0" xfId="3" applyFont="1" applyFill="1" applyAlignment="1">
      <alignment horizontal="center" vertical="center"/>
    </xf>
    <xf numFmtId="0" fontId="13" fillId="0" borderId="0" xfId="3" applyFont="1" applyAlignment="1">
      <alignment vertical="center" shrinkToFit="1"/>
    </xf>
    <xf numFmtId="166" fontId="13" fillId="7" borderId="0" xfId="4" applyNumberFormat="1" applyFont="1" applyFill="1" applyAlignment="1">
      <alignment horizontal="center" vertical="center"/>
    </xf>
    <xf numFmtId="170" fontId="19" fillId="0" borderId="0" xfId="0" applyNumberFormat="1" applyFont="1" applyBorder="1" applyAlignment="1">
      <alignment horizontal="center" vertical="center"/>
    </xf>
    <xf numFmtId="170" fontId="19" fillId="0" borderId="4" xfId="0" applyNumberFormat="1" applyFont="1" applyBorder="1" applyAlignment="1">
      <alignment horizontal="center" vertical="center"/>
    </xf>
    <xf numFmtId="170" fontId="3" fillId="0" borderId="4" xfId="1" applyNumberFormat="1" applyFont="1" applyFill="1" applyBorder="1" applyAlignment="1">
      <alignment horizontal="center" vertical="center"/>
    </xf>
    <xf numFmtId="170" fontId="3" fillId="0" borderId="6" xfId="1" applyNumberFormat="1" applyFont="1" applyFill="1" applyBorder="1" applyAlignment="1">
      <alignment horizontal="center" vertical="center"/>
    </xf>
    <xf numFmtId="170" fontId="3" fillId="0" borderId="1" xfId="1" applyNumberFormat="1" applyFont="1" applyFill="1" applyBorder="1" applyAlignment="1">
      <alignment horizontal="center" vertical="center"/>
    </xf>
    <xf numFmtId="170" fontId="3" fillId="0" borderId="0" xfId="1" applyNumberFormat="1" applyFont="1" applyFill="1" applyBorder="1" applyAlignment="1">
      <alignment horizontal="center" vertical="center"/>
    </xf>
    <xf numFmtId="170" fontId="3" fillId="0" borderId="12" xfId="1" applyNumberFormat="1" applyFont="1" applyFill="1" applyBorder="1" applyAlignment="1">
      <alignment horizontal="center" vertical="center"/>
    </xf>
    <xf numFmtId="170" fontId="3" fillId="0" borderId="2" xfId="1" applyNumberFormat="1" applyFont="1" applyFill="1" applyBorder="1" applyAlignment="1">
      <alignment horizontal="center" vertical="center"/>
    </xf>
    <xf numFmtId="170" fontId="3" fillId="0" borderId="11" xfId="1" applyNumberFormat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/>
    </xf>
    <xf numFmtId="0" fontId="9" fillId="0" borderId="0" xfId="5" applyFont="1" applyAlignment="1">
      <alignment horizontal="center" vertical="center"/>
    </xf>
    <xf numFmtId="0" fontId="9" fillId="0" borderId="0" xfId="5" applyFont="1" applyBorder="1" applyAlignment="1">
      <alignment horizontal="center" vertical="center"/>
    </xf>
    <xf numFmtId="0" fontId="8" fillId="0" borderId="0" xfId="5" quotePrefix="1" applyFont="1" applyBorder="1" applyAlignment="1">
      <alignment horizontal="center" vertical="center" shrinkToFit="1"/>
    </xf>
    <xf numFmtId="0" fontId="62" fillId="0" borderId="0" xfId="5" applyFont="1" applyAlignment="1">
      <alignment horizontal="center" vertical="center"/>
    </xf>
    <xf numFmtId="1" fontId="9" fillId="0" borderId="0" xfId="2" quotePrefix="1" applyNumberFormat="1" applyFont="1" applyBorder="1" applyAlignment="1">
      <alignment horizontal="left" vertical="center"/>
    </xf>
    <xf numFmtId="179" fontId="9" fillId="0" borderId="0" xfId="2" quotePrefix="1" applyNumberFormat="1" applyFont="1" applyBorder="1" applyAlignment="1">
      <alignment horizontal="left" vertical="center"/>
    </xf>
    <xf numFmtId="179" fontId="9" fillId="0" borderId="0" xfId="2" applyNumberFormat="1" applyFont="1" applyBorder="1" applyAlignment="1">
      <alignment horizontal="left" vertical="center"/>
    </xf>
    <xf numFmtId="176" fontId="9" fillId="0" borderId="0" xfId="5" applyNumberFormat="1" applyFont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19" fillId="0" borderId="0" xfId="5" applyFont="1" applyBorder="1" applyAlignment="1">
      <alignment horizontal="center" vertical="center"/>
    </xf>
    <xf numFmtId="177" fontId="9" fillId="0" borderId="7" xfId="5" applyNumberFormat="1" applyFont="1" applyBorder="1" applyAlignment="1">
      <alignment horizontal="center" vertical="center"/>
    </xf>
    <xf numFmtId="175" fontId="19" fillId="0" borderId="0" xfId="2" quotePrefix="1" applyNumberFormat="1" applyFont="1" applyBorder="1" applyAlignment="1">
      <alignment horizontal="left" vertical="center"/>
    </xf>
    <xf numFmtId="175" fontId="19" fillId="0" borderId="0" xfId="2" applyNumberFormat="1" applyFont="1" applyBorder="1" applyAlignment="1">
      <alignment horizontal="left" vertical="center"/>
    </xf>
    <xf numFmtId="176" fontId="19" fillId="0" borderId="0" xfId="5" applyNumberFormat="1" applyFont="1" applyBorder="1" applyAlignment="1">
      <alignment horizontal="left" vertical="center"/>
    </xf>
    <xf numFmtId="0" fontId="10" fillId="0" borderId="0" xfId="5" applyFont="1" applyBorder="1" applyAlignment="1">
      <alignment horizontal="right" vertical="center"/>
    </xf>
    <xf numFmtId="0" fontId="9" fillId="0" borderId="7" xfId="5" applyFont="1" applyBorder="1" applyAlignment="1">
      <alignment horizontal="center" vertical="center" wrapText="1"/>
    </xf>
    <xf numFmtId="0" fontId="9" fillId="0" borderId="7" xfId="5" applyFont="1" applyBorder="1" applyAlignment="1">
      <alignment horizontal="center" vertical="center"/>
    </xf>
    <xf numFmtId="0" fontId="9" fillId="0" borderId="7" xfId="5" quotePrefix="1" applyFont="1" applyBorder="1" applyAlignment="1">
      <alignment horizontal="center" vertical="center"/>
    </xf>
    <xf numFmtId="0" fontId="18" fillId="0" borderId="8" xfId="5" applyFont="1" applyBorder="1" applyAlignment="1">
      <alignment horizontal="center" vertical="center"/>
    </xf>
    <xf numFmtId="0" fontId="18" fillId="0" borderId="3" xfId="5" applyFont="1" applyBorder="1" applyAlignment="1">
      <alignment horizontal="center" vertical="center"/>
    </xf>
    <xf numFmtId="0" fontId="18" fillId="0" borderId="9" xfId="5" applyFont="1" applyBorder="1" applyAlignment="1">
      <alignment horizontal="center" vertical="center"/>
    </xf>
    <xf numFmtId="0" fontId="71" fillId="0" borderId="0" xfId="5" applyFont="1" applyAlignment="1">
      <alignment horizontal="center" vertical="center"/>
    </xf>
    <xf numFmtId="0" fontId="18" fillId="0" borderId="7" xfId="5" applyFont="1" applyBorder="1" applyAlignment="1">
      <alignment horizontal="center" vertical="center"/>
    </xf>
    <xf numFmtId="0" fontId="9" fillId="0" borderId="7" xfId="22" applyFont="1" applyBorder="1" applyAlignment="1">
      <alignment horizontal="center" vertical="center"/>
    </xf>
    <xf numFmtId="0" fontId="75" fillId="0" borderId="7" xfId="23" applyFont="1" applyBorder="1" applyAlignment="1" applyProtection="1">
      <alignment horizontal="center" vertical="center"/>
      <protection locked="0"/>
    </xf>
    <xf numFmtId="166" fontId="9" fillId="0" borderId="7" xfId="22" applyNumberFormat="1" applyFont="1" applyBorder="1" applyAlignment="1">
      <alignment horizontal="center" vertical="center"/>
    </xf>
    <xf numFmtId="0" fontId="9" fillId="0" borderId="7" xfId="22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shrinkToFit="1"/>
    </xf>
    <xf numFmtId="0" fontId="9" fillId="0" borderId="7" xfId="22" applyFont="1" applyBorder="1" applyAlignment="1">
      <alignment horizontal="center" vertical="center" shrinkToFit="1"/>
    </xf>
    <xf numFmtId="0" fontId="9" fillId="0" borderId="0" xfId="2" quotePrefix="1" applyFont="1" applyAlignment="1">
      <alignment horizontal="center" vertical="center"/>
    </xf>
    <xf numFmtId="0" fontId="62" fillId="0" borderId="0" xfId="2" applyNumberFormat="1" applyFont="1" applyBorder="1" applyAlignment="1">
      <alignment horizontal="center" vertical="center"/>
    </xf>
    <xf numFmtId="0" fontId="9" fillId="0" borderId="7" xfId="2" applyNumberFormat="1" applyFont="1" applyBorder="1" applyAlignment="1">
      <alignment horizontal="center" vertical="center" wrapText="1"/>
    </xf>
    <xf numFmtId="0" fontId="9" fillId="0" borderId="7" xfId="2" applyNumberFormat="1" applyFont="1" applyBorder="1" applyAlignment="1">
      <alignment horizontal="center" vertical="center"/>
    </xf>
    <xf numFmtId="2" fontId="9" fillId="0" borderId="7" xfId="2" applyNumberFormat="1" applyFont="1" applyBorder="1" applyAlignment="1">
      <alignment horizontal="center" vertical="center"/>
    </xf>
    <xf numFmtId="166" fontId="9" fillId="0" borderId="5" xfId="0" quotePrefix="1" applyNumberFormat="1" applyFont="1" applyBorder="1" applyAlignment="1">
      <alignment horizontal="center" vertical="center"/>
    </xf>
    <xf numFmtId="166" fontId="9" fillId="0" borderId="4" xfId="0" quotePrefix="1" applyNumberFormat="1" applyFont="1" applyBorder="1" applyAlignment="1">
      <alignment horizontal="center" vertical="center"/>
    </xf>
    <xf numFmtId="166" fontId="9" fillId="0" borderId="6" xfId="0" quotePrefix="1" applyNumberFormat="1" applyFont="1" applyBorder="1" applyAlignment="1">
      <alignment horizontal="center" vertical="center"/>
    </xf>
    <xf numFmtId="166" fontId="9" fillId="0" borderId="1" xfId="0" quotePrefix="1" applyNumberFormat="1" applyFont="1" applyBorder="1" applyAlignment="1">
      <alignment horizontal="center" vertical="center"/>
    </xf>
    <xf numFmtId="166" fontId="9" fillId="0" borderId="0" xfId="0" quotePrefix="1" applyNumberFormat="1" applyFont="1" applyBorder="1" applyAlignment="1">
      <alignment horizontal="center" vertical="center"/>
    </xf>
    <xf numFmtId="166" fontId="9" fillId="0" borderId="12" xfId="0" quotePrefix="1" applyNumberFormat="1" applyFont="1" applyBorder="1" applyAlignment="1">
      <alignment horizontal="center" vertical="center"/>
    </xf>
    <xf numFmtId="166" fontId="9" fillId="0" borderId="10" xfId="0" quotePrefix="1" applyNumberFormat="1" applyFont="1" applyBorder="1" applyAlignment="1">
      <alignment horizontal="center" vertical="center"/>
    </xf>
    <xf numFmtId="166" fontId="9" fillId="0" borderId="2" xfId="0" quotePrefix="1" applyNumberFormat="1" applyFont="1" applyBorder="1" applyAlignment="1">
      <alignment horizontal="center" vertical="center"/>
    </xf>
    <xf numFmtId="166" fontId="9" fillId="0" borderId="11" xfId="0" quotePrefix="1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178" fontId="9" fillId="0" borderId="16" xfId="0" applyNumberFormat="1" applyFont="1" applyFill="1" applyBorder="1" applyAlignment="1">
      <alignment horizontal="center" vertical="center"/>
    </xf>
    <xf numFmtId="178" fontId="9" fillId="0" borderId="18" xfId="0" applyNumberFormat="1" applyFont="1" applyFill="1" applyBorder="1" applyAlignment="1">
      <alignment horizontal="center" vertical="center"/>
    </xf>
    <xf numFmtId="178" fontId="9" fillId="0" borderId="20" xfId="0" applyNumberFormat="1" applyFont="1" applyFill="1" applyBorder="1" applyAlignment="1">
      <alignment horizontal="center" vertical="center"/>
    </xf>
    <xf numFmtId="178" fontId="9" fillId="0" borderId="21" xfId="0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178" fontId="9" fillId="0" borderId="19" xfId="0" applyNumberFormat="1" applyFont="1" applyFill="1" applyBorder="1" applyAlignment="1">
      <alignment horizontal="center" vertical="center"/>
    </xf>
    <xf numFmtId="166" fontId="9" fillId="0" borderId="17" xfId="0" applyNumberFormat="1" applyFont="1" applyBorder="1" applyAlignment="1">
      <alignment horizontal="center" vertical="center" wrapText="1"/>
    </xf>
    <xf numFmtId="178" fontId="9" fillId="0" borderId="17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0" xfId="2" applyNumberFormat="1" applyFont="1" applyBorder="1" applyAlignment="1">
      <alignment horizontal="right"/>
    </xf>
    <xf numFmtId="0" fontId="26" fillId="9" borderId="0" xfId="0" applyFont="1" applyFill="1" applyAlignment="1">
      <alignment horizontal="center" vertical="center"/>
    </xf>
    <xf numFmtId="0" fontId="13" fillId="0" borderId="0" xfId="3" applyFont="1" applyAlignment="1">
      <alignment horizontal="left" vertical="center" shrinkToFit="1"/>
    </xf>
    <xf numFmtId="0" fontId="13" fillId="9" borderId="0" xfId="4" applyFont="1" applyFill="1" applyAlignment="1">
      <alignment horizontal="left" vertical="center" shrinkToFit="1"/>
    </xf>
    <xf numFmtId="0" fontId="31" fillId="10" borderId="16" xfId="0" applyFont="1" applyFill="1" applyBorder="1" applyAlignment="1">
      <alignment horizontal="center" vertical="center"/>
    </xf>
    <xf numFmtId="0" fontId="31" fillId="10" borderId="17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10" borderId="11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1" fillId="12" borderId="5" xfId="0" applyFont="1" applyFill="1" applyBorder="1" applyAlignment="1">
      <alignment horizontal="center" vertical="center"/>
    </xf>
    <xf numFmtId="0" fontId="31" fillId="12" borderId="6" xfId="0" applyFont="1" applyFill="1" applyBorder="1" applyAlignment="1">
      <alignment horizontal="center" vertical="center"/>
    </xf>
    <xf numFmtId="0" fontId="31" fillId="13" borderId="5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31" fillId="13" borderId="10" xfId="0" applyFont="1" applyFill="1" applyBorder="1" applyAlignment="1">
      <alignment horizontal="center" vertical="center"/>
    </xf>
    <xf numFmtId="0" fontId="31" fillId="13" borderId="11" xfId="0" applyFont="1" applyFill="1" applyBorder="1" applyAlignment="1">
      <alignment horizontal="center" vertical="center"/>
    </xf>
    <xf numFmtId="0" fontId="31" fillId="14" borderId="16" xfId="0" applyFont="1" applyFill="1" applyBorder="1" applyAlignment="1">
      <alignment horizontal="center" vertical="center"/>
    </xf>
    <xf numFmtId="0" fontId="31" fillId="14" borderId="1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/>
    </xf>
    <xf numFmtId="0" fontId="31" fillId="14" borderId="6" xfId="0" applyFont="1" applyFill="1" applyBorder="1" applyAlignment="1">
      <alignment horizontal="center"/>
    </xf>
    <xf numFmtId="0" fontId="31" fillId="15" borderId="16" xfId="0" applyFont="1" applyFill="1" applyBorder="1" applyAlignment="1">
      <alignment horizontal="center" vertical="center" wrapText="1"/>
    </xf>
    <xf numFmtId="0" fontId="31" fillId="15" borderId="17" xfId="0" applyFont="1" applyFill="1" applyBorder="1" applyAlignment="1">
      <alignment horizontal="center" vertical="center"/>
    </xf>
    <xf numFmtId="0" fontId="33" fillId="11" borderId="10" xfId="0" applyFont="1" applyFill="1" applyBorder="1" applyAlignment="1">
      <alignment horizontal="center" vertical="top"/>
    </xf>
    <xf numFmtId="0" fontId="31" fillId="11" borderId="11" xfId="0" applyFont="1" applyFill="1" applyBorder="1" applyAlignment="1">
      <alignment horizontal="center" vertical="top"/>
    </xf>
    <xf numFmtId="0" fontId="31" fillId="12" borderId="10" xfId="0" applyFont="1" applyFill="1" applyBorder="1" applyAlignment="1">
      <alignment horizontal="center" vertical="center"/>
    </xf>
    <xf numFmtId="0" fontId="31" fillId="12" borderId="11" xfId="0" applyFont="1" applyFill="1" applyBorder="1" applyAlignment="1">
      <alignment horizontal="center" vertical="center"/>
    </xf>
    <xf numFmtId="0" fontId="33" fillId="14" borderId="10" xfId="0" applyFont="1" applyFill="1" applyBorder="1" applyAlignment="1">
      <alignment horizontal="center" vertical="top"/>
    </xf>
    <xf numFmtId="0" fontId="31" fillId="14" borderId="11" xfId="0" applyFont="1" applyFill="1" applyBorder="1" applyAlignment="1">
      <alignment horizontal="center" vertical="top"/>
    </xf>
    <xf numFmtId="166" fontId="8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left" vertical="center"/>
    </xf>
    <xf numFmtId="0" fontId="31" fillId="0" borderId="9" xfId="0" applyFont="1" applyFill="1" applyBorder="1" applyAlignment="1">
      <alignment horizontal="left" vertical="center"/>
    </xf>
    <xf numFmtId="170" fontId="36" fillId="3" borderId="8" xfId="0" applyNumberFormat="1" applyFont="1" applyFill="1" applyBorder="1" applyAlignment="1">
      <alignment horizontal="center" vertical="center"/>
    </xf>
    <xf numFmtId="170" fontId="36" fillId="3" borderId="9" xfId="0" applyNumberFormat="1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170" fontId="37" fillId="0" borderId="8" xfId="0" applyNumberFormat="1" applyFont="1" applyFill="1" applyBorder="1" applyAlignment="1">
      <alignment horizontal="center" vertical="center"/>
    </xf>
    <xf numFmtId="170" fontId="37" fillId="0" borderId="9" xfId="0" applyNumberFormat="1" applyFont="1" applyFill="1" applyBorder="1" applyAlignment="1">
      <alignment horizontal="center" vertical="center"/>
    </xf>
    <xf numFmtId="167" fontId="36" fillId="0" borderId="8" xfId="0" applyNumberFormat="1" applyFont="1" applyFill="1" applyBorder="1" applyAlignment="1">
      <alignment horizontal="center" vertical="center"/>
    </xf>
    <xf numFmtId="167" fontId="36" fillId="0" borderId="9" xfId="0" applyNumberFormat="1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72" fontId="36" fillId="3" borderId="8" xfId="0" applyNumberFormat="1" applyFont="1" applyFill="1" applyBorder="1" applyAlignment="1">
      <alignment horizontal="center" vertical="center"/>
    </xf>
    <xf numFmtId="172" fontId="36" fillId="3" borderId="9" xfId="0" applyNumberFormat="1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170" fontId="37" fillId="3" borderId="8" xfId="0" applyNumberFormat="1" applyFont="1" applyFill="1" applyBorder="1" applyAlignment="1">
      <alignment horizontal="center" vertical="center"/>
    </xf>
    <xf numFmtId="170" fontId="37" fillId="3" borderId="9" xfId="0" applyNumberFormat="1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horizontal="center" vertical="center"/>
    </xf>
    <xf numFmtId="172" fontId="37" fillId="3" borderId="8" xfId="0" applyNumberFormat="1" applyFont="1" applyFill="1" applyBorder="1" applyAlignment="1">
      <alignment horizontal="center" vertical="center"/>
    </xf>
    <xf numFmtId="172" fontId="37" fillId="3" borderId="9" xfId="0" applyNumberFormat="1" applyFont="1" applyFill="1" applyBorder="1" applyAlignment="1">
      <alignment horizontal="center" vertical="center"/>
    </xf>
    <xf numFmtId="167" fontId="36" fillId="3" borderId="8" xfId="0" applyNumberFormat="1" applyFont="1" applyFill="1" applyBorder="1" applyAlignment="1">
      <alignment horizontal="center" vertical="center"/>
    </xf>
    <xf numFmtId="167" fontId="36" fillId="3" borderId="9" xfId="0" applyNumberFormat="1" applyFont="1" applyFill="1" applyBorder="1" applyAlignment="1">
      <alignment horizontal="center" vertical="center"/>
    </xf>
    <xf numFmtId="168" fontId="37" fillId="3" borderId="8" xfId="0" applyNumberFormat="1" applyFont="1" applyFill="1" applyBorder="1" applyAlignment="1">
      <alignment horizontal="center" vertical="center"/>
    </xf>
    <xf numFmtId="168" fontId="37" fillId="3" borderId="9" xfId="0" applyNumberFormat="1" applyFont="1" applyFill="1" applyBorder="1" applyAlignment="1">
      <alignment horizontal="center" vertical="center"/>
    </xf>
    <xf numFmtId="0" fontId="31" fillId="16" borderId="8" xfId="0" applyFont="1" applyFill="1" applyBorder="1" applyAlignment="1">
      <alignment horizontal="center" vertical="center"/>
    </xf>
    <xf numFmtId="0" fontId="31" fillId="16" borderId="9" xfId="0" applyFont="1" applyFill="1" applyBorder="1" applyAlignment="1">
      <alignment horizontal="center" vertical="center"/>
    </xf>
    <xf numFmtId="2" fontId="95" fillId="21" borderId="8" xfId="0" applyNumberFormat="1" applyFont="1" applyFill="1" applyBorder="1" applyAlignment="1">
      <alignment horizontal="center" vertical="center"/>
    </xf>
    <xf numFmtId="2" fontId="95" fillId="21" borderId="9" xfId="0" applyNumberFormat="1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169" fontId="31" fillId="3" borderId="8" xfId="0" applyNumberFormat="1" applyFont="1" applyFill="1" applyBorder="1" applyAlignment="1">
      <alignment horizontal="center" vertical="center"/>
    </xf>
    <xf numFmtId="169" fontId="31" fillId="3" borderId="9" xfId="0" applyNumberFormat="1" applyFont="1" applyFill="1" applyBorder="1" applyAlignment="1">
      <alignment horizontal="center" vertical="center"/>
    </xf>
    <xf numFmtId="0" fontId="75" fillId="10" borderId="16" xfId="0" applyFont="1" applyFill="1" applyBorder="1" applyAlignment="1">
      <alignment horizontal="center" vertical="center"/>
    </xf>
    <xf numFmtId="0" fontId="75" fillId="10" borderId="17" xfId="0" applyFont="1" applyFill="1" applyBorder="1" applyAlignment="1">
      <alignment horizontal="center" vertical="center"/>
    </xf>
    <xf numFmtId="0" fontId="75" fillId="10" borderId="10" xfId="0" applyFont="1" applyFill="1" applyBorder="1" applyAlignment="1">
      <alignment horizontal="center" vertical="center"/>
    </xf>
    <xf numFmtId="0" fontId="75" fillId="10" borderId="11" xfId="0" applyFont="1" applyFill="1" applyBorder="1" applyAlignment="1">
      <alignment horizontal="center" vertical="center"/>
    </xf>
    <xf numFmtId="0" fontId="31" fillId="11" borderId="8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left" vertical="center"/>
    </xf>
    <xf numFmtId="0" fontId="19" fillId="10" borderId="5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31" fillId="10" borderId="5" xfId="12" applyFont="1" applyFill="1" applyBorder="1" applyAlignment="1">
      <alignment horizontal="center" vertical="center"/>
    </xf>
    <xf numFmtId="0" fontId="31" fillId="10" borderId="6" xfId="12" applyFont="1" applyFill="1" applyBorder="1" applyAlignment="1">
      <alignment horizontal="center" vertical="center"/>
    </xf>
    <xf numFmtId="170" fontId="36" fillId="0" borderId="8" xfId="0" applyNumberFormat="1" applyFont="1" applyFill="1" applyBorder="1" applyAlignment="1">
      <alignment horizontal="center" vertical="center"/>
    </xf>
    <xf numFmtId="170" fontId="36" fillId="0" borderId="9" xfId="0" applyNumberFormat="1" applyFont="1" applyFill="1" applyBorder="1" applyAlignment="1">
      <alignment horizontal="center" vertical="center"/>
    </xf>
    <xf numFmtId="2" fontId="36" fillId="3" borderId="8" xfId="0" applyNumberFormat="1" applyFont="1" applyFill="1" applyBorder="1" applyAlignment="1">
      <alignment horizontal="center" vertical="center"/>
    </xf>
    <xf numFmtId="2" fontId="36" fillId="3" borderId="9" xfId="0" applyNumberFormat="1" applyFont="1" applyFill="1" applyBorder="1" applyAlignment="1">
      <alignment horizontal="center" vertical="center"/>
    </xf>
    <xf numFmtId="168" fontId="36" fillId="0" borderId="8" xfId="0" applyNumberFormat="1" applyFont="1" applyFill="1" applyBorder="1" applyAlignment="1">
      <alignment horizontal="center" vertical="center"/>
    </xf>
    <xf numFmtId="168" fontId="36" fillId="0" borderId="9" xfId="0" applyNumberFormat="1" applyFont="1" applyFill="1" applyBorder="1" applyAlignment="1">
      <alignment horizontal="center" vertical="center"/>
    </xf>
    <xf numFmtId="166" fontId="36" fillId="3" borderId="8" xfId="0" applyNumberFormat="1" applyFont="1" applyFill="1" applyBorder="1" applyAlignment="1">
      <alignment horizontal="center" vertical="center"/>
    </xf>
    <xf numFmtId="166" fontId="36" fillId="3" borderId="9" xfId="0" applyNumberFormat="1" applyFont="1" applyFill="1" applyBorder="1" applyAlignment="1">
      <alignment horizontal="center" vertical="center"/>
    </xf>
    <xf numFmtId="166" fontId="36" fillId="0" borderId="8" xfId="0" applyNumberFormat="1" applyFont="1" applyFill="1" applyBorder="1" applyAlignment="1">
      <alignment horizontal="center" vertical="center"/>
    </xf>
    <xf numFmtId="166" fontId="36" fillId="0" borderId="9" xfId="0" applyNumberFormat="1" applyFont="1" applyFill="1" applyBorder="1" applyAlignment="1">
      <alignment horizontal="center" vertical="center"/>
    </xf>
    <xf numFmtId="168" fontId="36" fillId="3" borderId="8" xfId="0" applyNumberFormat="1" applyFont="1" applyFill="1" applyBorder="1" applyAlignment="1">
      <alignment horizontal="center" vertical="center"/>
    </xf>
    <xf numFmtId="168" fontId="36" fillId="3" borderId="9" xfId="0" applyNumberFormat="1" applyFont="1" applyFill="1" applyBorder="1" applyAlignment="1">
      <alignment horizontal="center" vertical="center"/>
    </xf>
    <xf numFmtId="2" fontId="42" fillId="8" borderId="8" xfId="0" applyNumberFormat="1" applyFont="1" applyFill="1" applyBorder="1" applyAlignment="1">
      <alignment horizontal="center" vertical="center"/>
    </xf>
    <xf numFmtId="2" fontId="42" fillId="8" borderId="9" xfId="0" applyNumberFormat="1" applyFont="1" applyFill="1" applyBorder="1" applyAlignment="1">
      <alignment horizontal="center" vertical="center"/>
    </xf>
    <xf numFmtId="174" fontId="54" fillId="19" borderId="8" xfId="3" applyNumberFormat="1" applyFont="1" applyFill="1" applyBorder="1" applyAlignment="1" applyProtection="1">
      <alignment horizontal="center" vertical="center"/>
      <protection locked="0"/>
    </xf>
    <xf numFmtId="174" fontId="54" fillId="19" borderId="3" xfId="3" applyNumberFormat="1" applyFont="1" applyFill="1" applyBorder="1" applyAlignment="1" applyProtection="1">
      <alignment horizontal="center" vertical="center"/>
      <protection locked="0"/>
    </xf>
    <xf numFmtId="174" fontId="54" fillId="19" borderId="9" xfId="3" applyNumberFormat="1" applyFont="1" applyFill="1" applyBorder="1" applyAlignment="1" applyProtection="1">
      <alignment horizontal="center" vertical="center"/>
      <protection locked="0"/>
    </xf>
    <xf numFmtId="0" fontId="52" fillId="17" borderId="8" xfId="3" applyFont="1" applyFill="1" applyBorder="1" applyAlignment="1" applyProtection="1">
      <alignment horizontal="center" vertical="center"/>
      <protection locked="0"/>
    </xf>
    <xf numFmtId="0" fontId="52" fillId="17" borderId="3" xfId="3" applyFont="1" applyFill="1" applyBorder="1" applyAlignment="1" applyProtection="1">
      <alignment horizontal="center" vertical="center"/>
      <protection locked="0"/>
    </xf>
    <xf numFmtId="0" fontId="52" fillId="17" borderId="9" xfId="3" applyFont="1" applyFill="1" applyBorder="1" applyAlignment="1" applyProtection="1">
      <alignment horizontal="center" vertical="center"/>
      <protection locked="0"/>
    </xf>
    <xf numFmtId="0" fontId="53" fillId="18" borderId="8" xfId="3" applyFont="1" applyFill="1" applyBorder="1" applyAlignment="1" applyProtection="1">
      <alignment horizontal="center" vertical="center"/>
      <protection locked="0"/>
    </xf>
    <xf numFmtId="0" fontId="53" fillId="18" borderId="3" xfId="3" applyFont="1" applyFill="1" applyBorder="1" applyAlignment="1" applyProtection="1">
      <alignment horizontal="center" vertical="center"/>
      <protection locked="0"/>
    </xf>
    <xf numFmtId="0" fontId="53" fillId="18" borderId="9" xfId="3" applyFont="1" applyFill="1" applyBorder="1" applyAlignment="1" applyProtection="1">
      <alignment horizontal="center" vertical="center"/>
      <protection locked="0"/>
    </xf>
    <xf numFmtId="0" fontId="31" fillId="19" borderId="8" xfId="3" applyFont="1" applyFill="1" applyBorder="1" applyAlignment="1" applyProtection="1">
      <alignment horizontal="center" vertical="center"/>
      <protection locked="0"/>
    </xf>
    <xf numFmtId="0" fontId="31" fillId="19" borderId="3" xfId="3" applyFont="1" applyFill="1" applyBorder="1" applyAlignment="1" applyProtection="1">
      <alignment horizontal="center" vertical="center"/>
      <protection locked="0"/>
    </xf>
    <xf numFmtId="0" fontId="31" fillId="19" borderId="9" xfId="3" applyFont="1" applyFill="1" applyBorder="1" applyAlignment="1" applyProtection="1">
      <alignment horizontal="center" vertical="center"/>
      <protection locked="0"/>
    </xf>
    <xf numFmtId="0" fontId="19" fillId="19" borderId="8" xfId="3" applyFont="1" applyFill="1" applyBorder="1" applyAlignment="1" applyProtection="1">
      <alignment horizontal="center" vertical="center"/>
      <protection locked="0"/>
    </xf>
    <xf numFmtId="0" fontId="19" fillId="19" borderId="3" xfId="3" applyFont="1" applyFill="1" applyBorder="1" applyAlignment="1" applyProtection="1">
      <alignment horizontal="center" vertical="center"/>
      <protection locked="0"/>
    </xf>
    <xf numFmtId="174" fontId="55" fillId="19" borderId="8" xfId="3" applyNumberFormat="1" applyFont="1" applyFill="1" applyBorder="1" applyAlignment="1" applyProtection="1">
      <alignment horizontal="center" vertical="center"/>
      <protection locked="0"/>
    </xf>
    <xf numFmtId="174" fontId="55" fillId="19" borderId="3" xfId="3" applyNumberFormat="1" applyFont="1" applyFill="1" applyBorder="1" applyAlignment="1" applyProtection="1">
      <alignment horizontal="center" vertical="center"/>
      <protection locked="0"/>
    </xf>
    <xf numFmtId="174" fontId="55" fillId="19" borderId="9" xfId="3" applyNumberFormat="1" applyFont="1" applyFill="1" applyBorder="1" applyAlignment="1" applyProtection="1">
      <alignment horizontal="center" vertical="center"/>
      <protection locked="0"/>
    </xf>
  </cellXfs>
  <cellStyles count="25">
    <cellStyle name="Comma 2" xfId="7"/>
    <cellStyle name="Hyperlink" xfId="23" builtinId="8"/>
    <cellStyle name="Normal" xfId="0" builtinId="0"/>
    <cellStyle name="Normal - Style1" xfId="24"/>
    <cellStyle name="Normal 2" xfId="2"/>
    <cellStyle name="Normal 2 2" xfId="8"/>
    <cellStyle name="Normal 2 2 6" xfId="9"/>
    <cellStyle name="Normal 2 2 7" xfId="10"/>
    <cellStyle name="Normal 2 2 8" xfId="11"/>
    <cellStyle name="Normal 3" xfId="12"/>
    <cellStyle name="Normal 3 2" xfId="22"/>
    <cellStyle name="Normal 4" xfId="5"/>
    <cellStyle name="Normal 4 2" xfId="13"/>
    <cellStyle name="Normal 4 7" xfId="14"/>
    <cellStyle name="Normal 5" xfId="4"/>
    <cellStyle name="Normal 6" xfId="15"/>
    <cellStyle name="Normal 6 2" xfId="6"/>
    <cellStyle name="Normal 7" xfId="16"/>
    <cellStyle name="Normal 7 2" xfId="17"/>
    <cellStyle name="Normal_Agilent-81570A1 2" xfId="21"/>
    <cellStyle name="Normal_Uncertainty Budget" xfId="3"/>
    <cellStyle name="ปกติ 2" xfId="18"/>
    <cellStyle name="ปกติ 2 2" xfId="19"/>
    <cellStyle name="ปกติ 3" xfId="1"/>
    <cellStyle name="ปกติ_Cert.(ตัวอย่าง DMM)" xfId="2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9648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9648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9648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9648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9648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9648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10477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409575</xdr:colOff>
          <xdr:row>12</xdr:row>
          <xdr:rowOff>95250</xdr:rowOff>
        </xdr:from>
        <xdr:to>
          <xdr:col>40</xdr:col>
          <xdr:colOff>390525</xdr:colOff>
          <xdr:row>14</xdr:row>
          <xdr:rowOff>104775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42</xdr:col>
      <xdr:colOff>323850</xdr:colOff>
      <xdr:row>1</xdr:row>
      <xdr:rowOff>142876</xdr:rowOff>
    </xdr:from>
    <xdr:to>
      <xdr:col>47</xdr:col>
      <xdr:colOff>0</xdr:colOff>
      <xdr:row>4</xdr:row>
      <xdr:rowOff>219076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8775" y="419101"/>
          <a:ext cx="25622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48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342900" y="18764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</xdr:row>
          <xdr:rowOff>95250</xdr:rowOff>
        </xdr:from>
        <xdr:to>
          <xdr:col>18</xdr:col>
          <xdr:colOff>238125</xdr:colOff>
          <xdr:row>4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3</xdr:row>
          <xdr:rowOff>76200</xdr:rowOff>
        </xdr:from>
        <xdr:to>
          <xdr:col>14</xdr:col>
          <xdr:colOff>0</xdr:colOff>
          <xdr:row>4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</xdr:row>
          <xdr:rowOff>85725</xdr:rowOff>
        </xdr:from>
        <xdr:to>
          <xdr:col>7</xdr:col>
          <xdr:colOff>9525</xdr:colOff>
          <xdr:row>9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104775</xdr:rowOff>
        </xdr:from>
        <xdr:to>
          <xdr:col>11</xdr:col>
          <xdr:colOff>19050</xdr:colOff>
          <xdr:row>9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14</xdr:row>
          <xdr:rowOff>28575</xdr:rowOff>
        </xdr:from>
        <xdr:to>
          <xdr:col>14</xdr:col>
          <xdr:colOff>428625</xdr:colOff>
          <xdr:row>14</xdr:row>
          <xdr:rowOff>200025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B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15</xdr:row>
          <xdr:rowOff>28575</xdr:rowOff>
        </xdr:from>
        <xdr:to>
          <xdr:col>14</xdr:col>
          <xdr:colOff>428625</xdr:colOff>
          <xdr:row>15</xdr:row>
          <xdr:rowOff>200025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B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16</xdr:row>
          <xdr:rowOff>28575</xdr:rowOff>
        </xdr:from>
        <xdr:to>
          <xdr:col>14</xdr:col>
          <xdr:colOff>428625</xdr:colOff>
          <xdr:row>16</xdr:row>
          <xdr:rowOff>200025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B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19</xdr:row>
          <xdr:rowOff>9525</xdr:rowOff>
        </xdr:from>
        <xdr:to>
          <xdr:col>14</xdr:col>
          <xdr:colOff>438150</xdr:colOff>
          <xdr:row>19</xdr:row>
          <xdr:rowOff>180975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B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18</xdr:row>
          <xdr:rowOff>38100</xdr:rowOff>
        </xdr:from>
        <xdr:to>
          <xdr:col>14</xdr:col>
          <xdr:colOff>428625</xdr:colOff>
          <xdr:row>18</xdr:row>
          <xdr:rowOff>209550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B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17</xdr:row>
          <xdr:rowOff>19050</xdr:rowOff>
        </xdr:from>
        <xdr:to>
          <xdr:col>14</xdr:col>
          <xdr:colOff>428625</xdr:colOff>
          <xdr:row>17</xdr:row>
          <xdr:rowOff>190500</xdr:rowOff>
        </xdr:to>
        <xdr:sp macro="" textlink="">
          <xdr:nvSpPr>
            <xdr:cNvPr id="13318" name="Object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B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20</xdr:row>
          <xdr:rowOff>28575</xdr:rowOff>
        </xdr:from>
        <xdr:to>
          <xdr:col>14</xdr:col>
          <xdr:colOff>428625</xdr:colOff>
          <xdr:row>20</xdr:row>
          <xdr:rowOff>200025</xdr:rowOff>
        </xdr:to>
        <xdr:sp macro="" textlink="">
          <xdr:nvSpPr>
            <xdr:cNvPr id="13319" name="Object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B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228601</xdr:colOff>
      <xdr:row>40</xdr:row>
      <xdr:rowOff>133351</xdr:rowOff>
    </xdr:from>
    <xdr:to>
      <xdr:col>19</xdr:col>
      <xdr:colOff>257175</xdr:colOff>
      <xdr:row>40</xdr:row>
      <xdr:rowOff>133351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6" y="5648326"/>
          <a:ext cx="2552699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352425</xdr:colOff>
      <xdr:row>16</xdr:row>
      <xdr:rowOff>38100</xdr:rowOff>
    </xdr:from>
    <xdr:to>
      <xdr:col>27</xdr:col>
      <xdr:colOff>342899</xdr:colOff>
      <xdr:row>19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3724275"/>
          <a:ext cx="2514599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14</xdr:row>
          <xdr:rowOff>28575</xdr:rowOff>
        </xdr:from>
        <xdr:to>
          <xdr:col>14</xdr:col>
          <xdr:colOff>428625</xdr:colOff>
          <xdr:row>14</xdr:row>
          <xdr:rowOff>200025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C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15</xdr:row>
          <xdr:rowOff>28575</xdr:rowOff>
        </xdr:from>
        <xdr:to>
          <xdr:col>14</xdr:col>
          <xdr:colOff>428625</xdr:colOff>
          <xdr:row>15</xdr:row>
          <xdr:rowOff>200025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C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16</xdr:row>
          <xdr:rowOff>28575</xdr:rowOff>
        </xdr:from>
        <xdr:to>
          <xdr:col>14</xdr:col>
          <xdr:colOff>428625</xdr:colOff>
          <xdr:row>16</xdr:row>
          <xdr:rowOff>200025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C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17</xdr:row>
          <xdr:rowOff>28575</xdr:rowOff>
        </xdr:from>
        <xdr:to>
          <xdr:col>14</xdr:col>
          <xdr:colOff>428625</xdr:colOff>
          <xdr:row>17</xdr:row>
          <xdr:rowOff>200025</xdr:rowOff>
        </xdr:to>
        <xdr:sp macro="" textlink="">
          <xdr:nvSpPr>
            <xdr:cNvPr id="14340" name="Object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C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18</xdr:row>
          <xdr:rowOff>38100</xdr:rowOff>
        </xdr:from>
        <xdr:to>
          <xdr:col>14</xdr:col>
          <xdr:colOff>428625</xdr:colOff>
          <xdr:row>18</xdr:row>
          <xdr:rowOff>209550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C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19</xdr:row>
          <xdr:rowOff>28575</xdr:rowOff>
        </xdr:from>
        <xdr:to>
          <xdr:col>14</xdr:col>
          <xdr:colOff>428625</xdr:colOff>
          <xdr:row>19</xdr:row>
          <xdr:rowOff>200025</xdr:rowOff>
        </xdr:to>
        <xdr:sp macro="" textlink="">
          <xdr:nvSpPr>
            <xdr:cNvPr id="14342" name="Object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C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20</xdr:row>
          <xdr:rowOff>28575</xdr:rowOff>
        </xdr:from>
        <xdr:to>
          <xdr:col>14</xdr:col>
          <xdr:colOff>428625</xdr:colOff>
          <xdr:row>20</xdr:row>
          <xdr:rowOff>200025</xdr:rowOff>
        </xdr:to>
        <xdr:sp macro="" textlink="">
          <xdr:nvSpPr>
            <xdr:cNvPr id="14343" name="Object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C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228601</xdr:colOff>
      <xdr:row>40</xdr:row>
      <xdr:rowOff>133351</xdr:rowOff>
    </xdr:from>
    <xdr:to>
      <xdr:col>19</xdr:col>
      <xdr:colOff>257175</xdr:colOff>
      <xdr:row>40</xdr:row>
      <xdr:rowOff>133351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6" y="5648326"/>
          <a:ext cx="2552699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352425</xdr:colOff>
      <xdr:row>16</xdr:row>
      <xdr:rowOff>38100</xdr:rowOff>
    </xdr:from>
    <xdr:to>
      <xdr:col>27</xdr:col>
      <xdr:colOff>342899</xdr:colOff>
      <xdr:row>19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3724275"/>
          <a:ext cx="2514599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14</xdr:row>
          <xdr:rowOff>28575</xdr:rowOff>
        </xdr:from>
        <xdr:to>
          <xdr:col>14</xdr:col>
          <xdr:colOff>428625</xdr:colOff>
          <xdr:row>14</xdr:row>
          <xdr:rowOff>200025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D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15</xdr:row>
          <xdr:rowOff>28575</xdr:rowOff>
        </xdr:from>
        <xdr:to>
          <xdr:col>14</xdr:col>
          <xdr:colOff>428625</xdr:colOff>
          <xdr:row>15</xdr:row>
          <xdr:rowOff>200025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D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16</xdr:row>
          <xdr:rowOff>28575</xdr:rowOff>
        </xdr:from>
        <xdr:to>
          <xdr:col>14</xdr:col>
          <xdr:colOff>428625</xdr:colOff>
          <xdr:row>16</xdr:row>
          <xdr:rowOff>200025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D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17</xdr:row>
          <xdr:rowOff>38100</xdr:rowOff>
        </xdr:from>
        <xdr:to>
          <xdr:col>14</xdr:col>
          <xdr:colOff>428625</xdr:colOff>
          <xdr:row>17</xdr:row>
          <xdr:rowOff>209550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D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18</xdr:row>
          <xdr:rowOff>38100</xdr:rowOff>
        </xdr:from>
        <xdr:to>
          <xdr:col>14</xdr:col>
          <xdr:colOff>428625</xdr:colOff>
          <xdr:row>18</xdr:row>
          <xdr:rowOff>209550</xdr:rowOff>
        </xdr:to>
        <xdr:sp macro="" textlink="">
          <xdr:nvSpPr>
            <xdr:cNvPr id="15365" name="Object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D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19</xdr:row>
          <xdr:rowOff>28575</xdr:rowOff>
        </xdr:from>
        <xdr:to>
          <xdr:col>14</xdr:col>
          <xdr:colOff>428625</xdr:colOff>
          <xdr:row>19</xdr:row>
          <xdr:rowOff>200025</xdr:rowOff>
        </xdr:to>
        <xdr:sp macro="" textlink="">
          <xdr:nvSpPr>
            <xdr:cNvPr id="15366" name="Object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D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20</xdr:row>
          <xdr:rowOff>28575</xdr:rowOff>
        </xdr:from>
        <xdr:to>
          <xdr:col>14</xdr:col>
          <xdr:colOff>428625</xdr:colOff>
          <xdr:row>20</xdr:row>
          <xdr:rowOff>200025</xdr:rowOff>
        </xdr:to>
        <xdr:sp macro="" textlink="">
          <xdr:nvSpPr>
            <xdr:cNvPr id="15367" name="Object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D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22</xdr:col>
      <xdr:colOff>352425</xdr:colOff>
      <xdr:row>16</xdr:row>
      <xdr:rowOff>38100</xdr:rowOff>
    </xdr:from>
    <xdr:to>
      <xdr:col>27</xdr:col>
      <xdr:colOff>342899</xdr:colOff>
      <xdr:row>19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3724275"/>
          <a:ext cx="2514599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14</xdr:row>
          <xdr:rowOff>28575</xdr:rowOff>
        </xdr:from>
        <xdr:to>
          <xdr:col>14</xdr:col>
          <xdr:colOff>428625</xdr:colOff>
          <xdr:row>14</xdr:row>
          <xdr:rowOff>200025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E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15</xdr:row>
          <xdr:rowOff>28575</xdr:rowOff>
        </xdr:from>
        <xdr:to>
          <xdr:col>14</xdr:col>
          <xdr:colOff>428625</xdr:colOff>
          <xdr:row>15</xdr:row>
          <xdr:rowOff>200025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E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16</xdr:row>
          <xdr:rowOff>28575</xdr:rowOff>
        </xdr:from>
        <xdr:to>
          <xdr:col>14</xdr:col>
          <xdr:colOff>428625</xdr:colOff>
          <xdr:row>16</xdr:row>
          <xdr:rowOff>200025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E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17</xdr:row>
          <xdr:rowOff>28575</xdr:rowOff>
        </xdr:from>
        <xdr:to>
          <xdr:col>14</xdr:col>
          <xdr:colOff>428625</xdr:colOff>
          <xdr:row>17</xdr:row>
          <xdr:rowOff>200025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E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18</xdr:row>
          <xdr:rowOff>28575</xdr:rowOff>
        </xdr:from>
        <xdr:to>
          <xdr:col>14</xdr:col>
          <xdr:colOff>428625</xdr:colOff>
          <xdr:row>18</xdr:row>
          <xdr:rowOff>200025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E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19</xdr:row>
          <xdr:rowOff>28575</xdr:rowOff>
        </xdr:from>
        <xdr:to>
          <xdr:col>14</xdr:col>
          <xdr:colOff>428625</xdr:colOff>
          <xdr:row>19</xdr:row>
          <xdr:rowOff>200025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E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20</xdr:row>
          <xdr:rowOff>28575</xdr:rowOff>
        </xdr:from>
        <xdr:to>
          <xdr:col>14</xdr:col>
          <xdr:colOff>428625</xdr:colOff>
          <xdr:row>20</xdr:row>
          <xdr:rowOff>200025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E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21</xdr:row>
          <xdr:rowOff>28575</xdr:rowOff>
        </xdr:from>
        <xdr:to>
          <xdr:col>14</xdr:col>
          <xdr:colOff>428625</xdr:colOff>
          <xdr:row>21</xdr:row>
          <xdr:rowOff>200025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E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22</xdr:row>
          <xdr:rowOff>28575</xdr:rowOff>
        </xdr:from>
        <xdr:to>
          <xdr:col>14</xdr:col>
          <xdr:colOff>428625</xdr:colOff>
          <xdr:row>22</xdr:row>
          <xdr:rowOff>200025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E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991600" y="8591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991600" y="8591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991600" y="8591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991600" y="8591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991600" y="8591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991600" y="8591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991600" y="9382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twoCellAnchor editAs="oneCell">
    <xdr:from>
      <xdr:col>42</xdr:col>
      <xdr:colOff>323850</xdr:colOff>
      <xdr:row>1</xdr:row>
      <xdr:rowOff>142876</xdr:rowOff>
    </xdr:from>
    <xdr:to>
      <xdr:col>47</xdr:col>
      <xdr:colOff>0</xdr:colOff>
      <xdr:row>4</xdr:row>
      <xdr:rowOff>219076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419101"/>
          <a:ext cx="22002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257175" y="1766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3</xdr:row>
          <xdr:rowOff>95250</xdr:rowOff>
        </xdr:from>
        <xdr:to>
          <xdr:col>18</xdr:col>
          <xdr:colOff>238125</xdr:colOff>
          <xdr:row>4</xdr:row>
          <xdr:rowOff>19050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1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3</xdr:row>
          <xdr:rowOff>76200</xdr:rowOff>
        </xdr:from>
        <xdr:to>
          <xdr:col>14</xdr:col>
          <xdr:colOff>0</xdr:colOff>
          <xdr:row>4</xdr:row>
          <xdr:rowOff>19050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1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</xdr:row>
          <xdr:rowOff>85725</xdr:rowOff>
        </xdr:from>
        <xdr:to>
          <xdr:col>7</xdr:col>
          <xdr:colOff>9525</xdr:colOff>
          <xdr:row>9</xdr:row>
          <xdr:rowOff>28575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1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104775</xdr:rowOff>
        </xdr:from>
        <xdr:to>
          <xdr:col>11</xdr:col>
          <xdr:colOff>19050</xdr:colOff>
          <xdr:row>9</xdr:row>
          <xdr:rowOff>28575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1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13</xdr:row>
      <xdr:rowOff>0</xdr:rowOff>
    </xdr:from>
    <xdr:ext cx="184731" cy="2471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657350" y="12763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oneCellAnchor>
    <xdr:from>
      <xdr:col>5</xdr:col>
      <xdr:colOff>180975</xdr:colOff>
      <xdr:row>13</xdr:row>
      <xdr:rowOff>0</xdr:rowOff>
    </xdr:from>
    <xdr:ext cx="184731" cy="2471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657350" y="12763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twoCellAnchor editAs="oneCell">
    <xdr:from>
      <xdr:col>4</xdr:col>
      <xdr:colOff>14288</xdr:colOff>
      <xdr:row>5</xdr:row>
      <xdr:rowOff>238123</xdr:rowOff>
    </xdr:from>
    <xdr:to>
      <xdr:col>17</xdr:col>
      <xdr:colOff>209550</xdr:colOff>
      <xdr:row>12</xdr:row>
      <xdr:rowOff>223836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219325" y="566736"/>
          <a:ext cx="1985963" cy="403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5</xdr:row>
      <xdr:rowOff>0</xdr:rowOff>
    </xdr:from>
    <xdr:ext cx="184731" cy="2471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657350" y="13525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oneCellAnchor>
    <xdr:from>
      <xdr:col>5</xdr:col>
      <xdr:colOff>180975</xdr:colOff>
      <xdr:row>5</xdr:row>
      <xdr:rowOff>0</xdr:rowOff>
    </xdr:from>
    <xdr:ext cx="184731" cy="2471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657350" y="13525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14</xdr:row>
          <xdr:rowOff>28575</xdr:rowOff>
        </xdr:from>
        <xdr:to>
          <xdr:col>14</xdr:col>
          <xdr:colOff>428625</xdr:colOff>
          <xdr:row>14</xdr:row>
          <xdr:rowOff>200025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15</xdr:row>
          <xdr:rowOff>28575</xdr:rowOff>
        </xdr:from>
        <xdr:to>
          <xdr:col>14</xdr:col>
          <xdr:colOff>428625</xdr:colOff>
          <xdr:row>15</xdr:row>
          <xdr:rowOff>200025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16</xdr:row>
          <xdr:rowOff>28575</xdr:rowOff>
        </xdr:from>
        <xdr:to>
          <xdr:col>14</xdr:col>
          <xdr:colOff>428625</xdr:colOff>
          <xdr:row>16</xdr:row>
          <xdr:rowOff>200025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6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17</xdr:row>
          <xdr:rowOff>28575</xdr:rowOff>
        </xdr:from>
        <xdr:to>
          <xdr:col>14</xdr:col>
          <xdr:colOff>428625</xdr:colOff>
          <xdr:row>17</xdr:row>
          <xdr:rowOff>200025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6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18</xdr:row>
          <xdr:rowOff>28575</xdr:rowOff>
        </xdr:from>
        <xdr:to>
          <xdr:col>14</xdr:col>
          <xdr:colOff>428625</xdr:colOff>
          <xdr:row>18</xdr:row>
          <xdr:rowOff>200025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6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19</xdr:row>
          <xdr:rowOff>28575</xdr:rowOff>
        </xdr:from>
        <xdr:to>
          <xdr:col>14</xdr:col>
          <xdr:colOff>428625</xdr:colOff>
          <xdr:row>19</xdr:row>
          <xdr:rowOff>200025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6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20</xdr:row>
          <xdr:rowOff>28575</xdr:rowOff>
        </xdr:from>
        <xdr:to>
          <xdr:col>14</xdr:col>
          <xdr:colOff>428625</xdr:colOff>
          <xdr:row>20</xdr:row>
          <xdr:rowOff>200025</xdr:rowOff>
        </xdr:to>
        <xdr:sp macro="" textlink="">
          <xdr:nvSpPr>
            <xdr:cNvPr id="9223" name="Object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6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228601</xdr:colOff>
      <xdr:row>40</xdr:row>
      <xdr:rowOff>133351</xdr:rowOff>
    </xdr:from>
    <xdr:to>
      <xdr:col>19</xdr:col>
      <xdr:colOff>257175</xdr:colOff>
      <xdr:row>40</xdr:row>
      <xdr:rowOff>133351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6" y="5648326"/>
          <a:ext cx="2552699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352425</xdr:colOff>
      <xdr:row>16</xdr:row>
      <xdr:rowOff>38100</xdr:rowOff>
    </xdr:from>
    <xdr:to>
      <xdr:col>27</xdr:col>
      <xdr:colOff>342899</xdr:colOff>
      <xdr:row>19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3724275"/>
          <a:ext cx="2514599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14</xdr:row>
          <xdr:rowOff>28575</xdr:rowOff>
        </xdr:from>
        <xdr:to>
          <xdr:col>14</xdr:col>
          <xdr:colOff>428625</xdr:colOff>
          <xdr:row>14</xdr:row>
          <xdr:rowOff>200025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15</xdr:row>
          <xdr:rowOff>28575</xdr:rowOff>
        </xdr:from>
        <xdr:to>
          <xdr:col>14</xdr:col>
          <xdr:colOff>428625</xdr:colOff>
          <xdr:row>15</xdr:row>
          <xdr:rowOff>200025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16</xdr:row>
          <xdr:rowOff>28575</xdr:rowOff>
        </xdr:from>
        <xdr:to>
          <xdr:col>14</xdr:col>
          <xdr:colOff>428625</xdr:colOff>
          <xdr:row>16</xdr:row>
          <xdr:rowOff>200025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17</xdr:row>
          <xdr:rowOff>28575</xdr:rowOff>
        </xdr:from>
        <xdr:to>
          <xdr:col>14</xdr:col>
          <xdr:colOff>428625</xdr:colOff>
          <xdr:row>17</xdr:row>
          <xdr:rowOff>200025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8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18</xdr:row>
          <xdr:rowOff>28575</xdr:rowOff>
        </xdr:from>
        <xdr:to>
          <xdr:col>14</xdr:col>
          <xdr:colOff>428625</xdr:colOff>
          <xdr:row>18</xdr:row>
          <xdr:rowOff>200025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19</xdr:row>
          <xdr:rowOff>28575</xdr:rowOff>
        </xdr:from>
        <xdr:to>
          <xdr:col>14</xdr:col>
          <xdr:colOff>428625</xdr:colOff>
          <xdr:row>19</xdr:row>
          <xdr:rowOff>200025</xdr:rowOff>
        </xdr:to>
        <xdr:sp macro="" textlink="">
          <xdr:nvSpPr>
            <xdr:cNvPr id="10246" name="Object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20</xdr:row>
          <xdr:rowOff>28575</xdr:rowOff>
        </xdr:from>
        <xdr:to>
          <xdr:col>14</xdr:col>
          <xdr:colOff>428625</xdr:colOff>
          <xdr:row>20</xdr:row>
          <xdr:rowOff>200025</xdr:rowOff>
        </xdr:to>
        <xdr:sp macro="" textlink="">
          <xdr:nvSpPr>
            <xdr:cNvPr id="10247" name="Object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8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228601</xdr:colOff>
      <xdr:row>40</xdr:row>
      <xdr:rowOff>133351</xdr:rowOff>
    </xdr:from>
    <xdr:to>
      <xdr:col>19</xdr:col>
      <xdr:colOff>257175</xdr:colOff>
      <xdr:row>40</xdr:row>
      <xdr:rowOff>133351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6" y="5648326"/>
          <a:ext cx="2552699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352425</xdr:colOff>
      <xdr:row>16</xdr:row>
      <xdr:rowOff>38100</xdr:rowOff>
    </xdr:from>
    <xdr:to>
      <xdr:col>27</xdr:col>
      <xdr:colOff>342899</xdr:colOff>
      <xdr:row>19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3724275"/>
          <a:ext cx="2514599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14</xdr:row>
          <xdr:rowOff>28575</xdr:rowOff>
        </xdr:from>
        <xdr:to>
          <xdr:col>14</xdr:col>
          <xdr:colOff>428625</xdr:colOff>
          <xdr:row>14</xdr:row>
          <xdr:rowOff>200025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9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15</xdr:row>
          <xdr:rowOff>28575</xdr:rowOff>
        </xdr:from>
        <xdr:to>
          <xdr:col>14</xdr:col>
          <xdr:colOff>428625</xdr:colOff>
          <xdr:row>15</xdr:row>
          <xdr:rowOff>200025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9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16</xdr:row>
          <xdr:rowOff>28575</xdr:rowOff>
        </xdr:from>
        <xdr:to>
          <xdr:col>14</xdr:col>
          <xdr:colOff>428625</xdr:colOff>
          <xdr:row>16</xdr:row>
          <xdr:rowOff>200025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9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17</xdr:row>
          <xdr:rowOff>28575</xdr:rowOff>
        </xdr:from>
        <xdr:to>
          <xdr:col>14</xdr:col>
          <xdr:colOff>428625</xdr:colOff>
          <xdr:row>17</xdr:row>
          <xdr:rowOff>200025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9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18</xdr:row>
          <xdr:rowOff>28575</xdr:rowOff>
        </xdr:from>
        <xdr:to>
          <xdr:col>14</xdr:col>
          <xdr:colOff>428625</xdr:colOff>
          <xdr:row>18</xdr:row>
          <xdr:rowOff>200025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9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19</xdr:row>
          <xdr:rowOff>28575</xdr:rowOff>
        </xdr:from>
        <xdr:to>
          <xdr:col>14</xdr:col>
          <xdr:colOff>428625</xdr:colOff>
          <xdr:row>19</xdr:row>
          <xdr:rowOff>200025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9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20</xdr:row>
          <xdr:rowOff>28575</xdr:rowOff>
        </xdr:from>
        <xdr:to>
          <xdr:col>14</xdr:col>
          <xdr:colOff>428625</xdr:colOff>
          <xdr:row>20</xdr:row>
          <xdr:rowOff>200025</xdr:rowOff>
        </xdr:to>
        <xdr:sp macro="" textlink="">
          <xdr:nvSpPr>
            <xdr:cNvPr id="11271" name="Object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9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228601</xdr:colOff>
      <xdr:row>40</xdr:row>
      <xdr:rowOff>133351</xdr:rowOff>
    </xdr:from>
    <xdr:to>
      <xdr:col>19</xdr:col>
      <xdr:colOff>257175</xdr:colOff>
      <xdr:row>40</xdr:row>
      <xdr:rowOff>133351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6" y="5648326"/>
          <a:ext cx="2552699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352425</xdr:colOff>
      <xdr:row>16</xdr:row>
      <xdr:rowOff>38100</xdr:rowOff>
    </xdr:from>
    <xdr:to>
      <xdr:col>27</xdr:col>
      <xdr:colOff>342899</xdr:colOff>
      <xdr:row>19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3724275"/>
          <a:ext cx="2514599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14</xdr:row>
          <xdr:rowOff>28575</xdr:rowOff>
        </xdr:from>
        <xdr:to>
          <xdr:col>14</xdr:col>
          <xdr:colOff>428625</xdr:colOff>
          <xdr:row>14</xdr:row>
          <xdr:rowOff>200025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A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15</xdr:row>
          <xdr:rowOff>28575</xdr:rowOff>
        </xdr:from>
        <xdr:to>
          <xdr:col>14</xdr:col>
          <xdr:colOff>428625</xdr:colOff>
          <xdr:row>15</xdr:row>
          <xdr:rowOff>200025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A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16</xdr:row>
          <xdr:rowOff>28575</xdr:rowOff>
        </xdr:from>
        <xdr:to>
          <xdr:col>14</xdr:col>
          <xdr:colOff>428625</xdr:colOff>
          <xdr:row>16</xdr:row>
          <xdr:rowOff>200025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A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17</xdr:row>
          <xdr:rowOff>28575</xdr:rowOff>
        </xdr:from>
        <xdr:to>
          <xdr:col>14</xdr:col>
          <xdr:colOff>428625</xdr:colOff>
          <xdr:row>17</xdr:row>
          <xdr:rowOff>200025</xdr:rowOff>
        </xdr:to>
        <xdr:sp macro="" textlink="">
          <xdr:nvSpPr>
            <xdr:cNvPr id="12292" name="Object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A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18</xdr:row>
          <xdr:rowOff>28575</xdr:rowOff>
        </xdr:from>
        <xdr:to>
          <xdr:col>14</xdr:col>
          <xdr:colOff>428625</xdr:colOff>
          <xdr:row>18</xdr:row>
          <xdr:rowOff>200025</xdr:rowOff>
        </xdr:to>
        <xdr:sp macro="" textlink="">
          <xdr:nvSpPr>
            <xdr:cNvPr id="12293" name="Object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A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19</xdr:row>
          <xdr:rowOff>28575</xdr:rowOff>
        </xdr:from>
        <xdr:to>
          <xdr:col>14</xdr:col>
          <xdr:colOff>428625</xdr:colOff>
          <xdr:row>19</xdr:row>
          <xdr:rowOff>200025</xdr:rowOff>
        </xdr:to>
        <xdr:sp macro="" textlink="">
          <xdr:nvSpPr>
            <xdr:cNvPr id="12294" name="Object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A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20</xdr:row>
          <xdr:rowOff>28575</xdr:rowOff>
        </xdr:from>
        <xdr:to>
          <xdr:col>14</xdr:col>
          <xdr:colOff>428625</xdr:colOff>
          <xdr:row>20</xdr:row>
          <xdr:rowOff>200025</xdr:rowOff>
        </xdr:to>
        <xdr:sp macro="" textlink="">
          <xdr:nvSpPr>
            <xdr:cNvPr id="12295" name="Object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A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228601</xdr:colOff>
      <xdr:row>40</xdr:row>
      <xdr:rowOff>133351</xdr:rowOff>
    </xdr:from>
    <xdr:to>
      <xdr:col>19</xdr:col>
      <xdr:colOff>257175</xdr:colOff>
      <xdr:row>40</xdr:row>
      <xdr:rowOff>133351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6" y="5648326"/>
          <a:ext cx="2552699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352425</xdr:colOff>
      <xdr:row>16</xdr:row>
      <xdr:rowOff>38100</xdr:rowOff>
    </xdr:from>
    <xdr:to>
      <xdr:col>27</xdr:col>
      <xdr:colOff>342899</xdr:colOff>
      <xdr:row>19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3724275"/>
          <a:ext cx="2514599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6_Dial%20Test%20Indica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8_Taper%20Gau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1_Thread%20Ring%20Gau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%20UP%20MY%20COM/CMC/01_Dimension/SP-CPD-04-39_Taper%20Thread%20Ring%20Gau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(Forward)"/>
      <sheetName val="Data Record(Backward)"/>
      <sheetName val="Certificate"/>
      <sheetName val="Report"/>
      <sheetName val="Result"/>
      <sheetName val="Uncertainty Budget"/>
      <sheetName val="Uncert of STD"/>
    </sheetNames>
    <sheetDataSet>
      <sheetData sheetId="0"/>
      <sheetData sheetId="1"/>
      <sheetData sheetId="2">
        <row r="5">
          <cell r="J5" t="str">
            <v>SPR15120012-1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"/>
      <sheetName val="Uncertainty Budget"/>
      <sheetName val="Cert of STD"/>
    </sheetNames>
    <sheetDataSet>
      <sheetData sheetId="0"/>
      <sheetData sheetId="1"/>
      <sheetData sheetId="2">
        <row r="5">
          <cell r="H5" t="str">
            <v>SPR15120012-1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(pitch)"/>
      <sheetName val="Data Record(minor)"/>
      <sheetName val="Certificate"/>
      <sheetName val="Report"/>
      <sheetName val="Result (Pitch) "/>
      <sheetName val="Result (Minor)"/>
      <sheetName val="Uncertainty Budget(Pitch)"/>
      <sheetName val="Uncertainty Budget(Minor)"/>
      <sheetName val="Cert of STD"/>
    </sheetNames>
    <sheetDataSet>
      <sheetData sheetId="0">
        <row r="13">
          <cell r="F13"/>
          <cell r="I13"/>
          <cell r="L13"/>
          <cell r="O13"/>
          <cell r="R13"/>
          <cell r="U13"/>
          <cell r="X13"/>
        </row>
        <row r="14">
          <cell r="O14"/>
          <cell r="R14" t="str">
            <v>□</v>
          </cell>
          <cell r="X14"/>
        </row>
        <row r="31">
          <cell r="Z31">
            <v>0</v>
          </cell>
        </row>
      </sheetData>
      <sheetData sheetId="1">
        <row r="24">
          <cell r="X24">
            <v>0</v>
          </cell>
        </row>
      </sheetData>
      <sheetData sheetId="2"/>
      <sheetData sheetId="3"/>
      <sheetData sheetId="4"/>
      <sheetData sheetId="5"/>
      <sheetData sheetId="6">
        <row r="7">
          <cell r="B7">
            <v>8.9174677405389033</v>
          </cell>
        </row>
        <row r="8">
          <cell r="B8">
            <v>8.9174677405389033</v>
          </cell>
        </row>
        <row r="9">
          <cell r="B9">
            <v>8</v>
          </cell>
        </row>
        <row r="10">
          <cell r="B10">
            <v>10</v>
          </cell>
        </row>
        <row r="11">
          <cell r="B11">
            <v>12</v>
          </cell>
        </row>
        <row r="12">
          <cell r="B12">
            <v>18</v>
          </cell>
        </row>
        <row r="13">
          <cell r="B13">
            <v>20</v>
          </cell>
        </row>
        <row r="14">
          <cell r="B14">
            <v>25</v>
          </cell>
        </row>
        <row r="15">
          <cell r="B15">
            <v>30</v>
          </cell>
        </row>
        <row r="16">
          <cell r="B16">
            <v>75</v>
          </cell>
        </row>
        <row r="17">
          <cell r="B17">
            <v>90</v>
          </cell>
        </row>
        <row r="18">
          <cell r="B18">
            <v>100</v>
          </cell>
        </row>
        <row r="19">
          <cell r="B19">
            <v>125</v>
          </cell>
        </row>
        <row r="20">
          <cell r="B20">
            <v>150</v>
          </cell>
        </row>
      </sheetData>
      <sheetData sheetId="7"/>
      <sheetData sheetId="8">
        <row r="10">
          <cell r="F10">
            <v>2.0999999999999998E-4</v>
          </cell>
        </row>
        <row r="11">
          <cell r="F11">
            <v>2.0999999999999998E-4</v>
          </cell>
        </row>
        <row r="12">
          <cell r="F12">
            <v>2.0999999999999998E-4</v>
          </cell>
        </row>
        <row r="13">
          <cell r="F13">
            <v>2.3000000000000001E-4</v>
          </cell>
        </row>
        <row r="14">
          <cell r="F14">
            <v>2.7E-4</v>
          </cell>
        </row>
        <row r="18">
          <cell r="R18">
            <v>1.7999999999999998E-4</v>
          </cell>
        </row>
        <row r="19">
          <cell r="F19">
            <v>3.8999999999999999E-4</v>
          </cell>
        </row>
        <row r="20">
          <cell r="F20">
            <v>3.8999999999999999E-4</v>
          </cell>
        </row>
        <row r="21">
          <cell r="F21">
            <v>3.8999999999999999E-4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Uncertainty Budget(P0.8)"/>
      <sheetName val="Uncertainty Budget(P1.5)"/>
      <sheetName val="Uncertainty Budget(P2.5)"/>
      <sheetName val="Uncertainty Budget(P4.5)"/>
      <sheetName val="Uncertainty Budget(P6)"/>
      <sheetName val="Uncertainty Budget(P8)"/>
      <sheetName val="Uncertainty Budget(P8)2"/>
      <sheetName val="Cert of STD"/>
    </sheetNames>
    <sheetDataSet>
      <sheetData sheetId="0">
        <row r="20">
          <cell r="H20">
            <v>60</v>
          </cell>
        </row>
        <row r="26">
          <cell r="AF26">
            <v>1.9999999999242846E-5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  <cell r="L31">
            <v>10.00103</v>
          </cell>
        </row>
        <row r="32">
          <cell r="E32">
            <v>0</v>
          </cell>
          <cell r="L32">
            <v>0</v>
          </cell>
        </row>
        <row r="33">
          <cell r="E33">
            <v>0</v>
          </cell>
          <cell r="L33">
            <v>2.5</v>
          </cell>
        </row>
        <row r="34">
          <cell r="E34">
            <v>0</v>
          </cell>
          <cell r="L34">
            <v>0</v>
          </cell>
        </row>
        <row r="35">
          <cell r="E35">
            <v>0</v>
          </cell>
          <cell r="L35">
            <v>0</v>
          </cell>
        </row>
        <row r="36">
          <cell r="E36">
            <v>0</v>
          </cell>
          <cell r="L36">
            <v>0</v>
          </cell>
        </row>
        <row r="37">
          <cell r="E37">
            <v>0</v>
          </cell>
          <cell r="L37">
            <v>0</v>
          </cell>
        </row>
        <row r="38">
          <cell r="E38">
            <v>0</v>
          </cell>
          <cell r="L38">
            <v>0</v>
          </cell>
        </row>
        <row r="39">
          <cell r="E39">
            <v>0</v>
          </cell>
          <cell r="L39">
            <v>2</v>
          </cell>
        </row>
        <row r="40">
          <cell r="E40">
            <v>0</v>
          </cell>
          <cell r="L40">
            <v>10.00103</v>
          </cell>
        </row>
        <row r="41">
          <cell r="E41">
            <v>0</v>
          </cell>
          <cell r="L41">
            <v>10.00103</v>
          </cell>
        </row>
        <row r="42">
          <cell r="E42">
            <v>0</v>
          </cell>
        </row>
        <row r="43">
          <cell r="E4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X6">
            <v>3.7033106020840359E-4</v>
          </cell>
          <cell r="AD6">
            <v>2E-3</v>
          </cell>
        </row>
        <row r="10">
          <cell r="F10">
            <v>2.0999999999999998E-4</v>
          </cell>
        </row>
        <row r="11">
          <cell r="F11">
            <v>2.0999999999999998E-4</v>
          </cell>
        </row>
        <row r="13">
          <cell r="F13">
            <v>2.3000000000000001E-4</v>
          </cell>
        </row>
        <row r="14">
          <cell r="D14">
            <v>0.27</v>
          </cell>
          <cell r="F14">
            <v>2.7E-4</v>
          </cell>
        </row>
        <row r="16">
          <cell r="F16">
            <v>2.7E-4</v>
          </cell>
        </row>
        <row r="18">
          <cell r="J18">
            <v>1.2</v>
          </cell>
        </row>
        <row r="19">
          <cell r="D19">
            <v>0.39</v>
          </cell>
        </row>
        <row r="20">
          <cell r="D20">
            <v>0.39</v>
          </cell>
          <cell r="F20">
            <v>3.8999999999999999E-4</v>
          </cell>
          <cell r="J20">
            <v>1.4</v>
          </cell>
        </row>
        <row r="21">
          <cell r="D21">
            <v>0.39</v>
          </cell>
          <cell r="F21">
            <v>3.8999999999999999E-4</v>
          </cell>
          <cell r="J21">
            <v>2.8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9.bin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oleObject18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17.bin"/><Relationship Id="rId11" Type="http://schemas.openxmlformats.org/officeDocument/2006/relationships/oleObject" Target="../embeddings/oleObject22.bin"/><Relationship Id="rId5" Type="http://schemas.openxmlformats.org/officeDocument/2006/relationships/image" Target="../media/image4.emf"/><Relationship Id="rId10" Type="http://schemas.openxmlformats.org/officeDocument/2006/relationships/oleObject" Target="../embeddings/oleObject21.bin"/><Relationship Id="rId4" Type="http://schemas.openxmlformats.org/officeDocument/2006/relationships/oleObject" Target="../embeddings/oleObject16.bin"/><Relationship Id="rId9" Type="http://schemas.openxmlformats.org/officeDocument/2006/relationships/oleObject" Target="../embeddings/oleObject2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6.bin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oleObject25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24.bin"/><Relationship Id="rId11" Type="http://schemas.openxmlformats.org/officeDocument/2006/relationships/oleObject" Target="../embeddings/oleObject29.bin"/><Relationship Id="rId5" Type="http://schemas.openxmlformats.org/officeDocument/2006/relationships/image" Target="../media/image4.emf"/><Relationship Id="rId10" Type="http://schemas.openxmlformats.org/officeDocument/2006/relationships/oleObject" Target="../embeddings/oleObject28.bin"/><Relationship Id="rId4" Type="http://schemas.openxmlformats.org/officeDocument/2006/relationships/oleObject" Target="../embeddings/oleObject23.bin"/><Relationship Id="rId9" Type="http://schemas.openxmlformats.org/officeDocument/2006/relationships/oleObject" Target="../embeddings/oleObject27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3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32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31.bin"/><Relationship Id="rId11" Type="http://schemas.openxmlformats.org/officeDocument/2006/relationships/oleObject" Target="../embeddings/oleObject36.bin"/><Relationship Id="rId5" Type="http://schemas.openxmlformats.org/officeDocument/2006/relationships/image" Target="../media/image4.emf"/><Relationship Id="rId10" Type="http://schemas.openxmlformats.org/officeDocument/2006/relationships/oleObject" Target="../embeddings/oleObject35.bin"/><Relationship Id="rId4" Type="http://schemas.openxmlformats.org/officeDocument/2006/relationships/oleObject" Target="../embeddings/oleObject30.bin"/><Relationship Id="rId9" Type="http://schemas.openxmlformats.org/officeDocument/2006/relationships/oleObject" Target="../embeddings/oleObject34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0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9.bin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38.bin"/><Relationship Id="rId11" Type="http://schemas.openxmlformats.org/officeDocument/2006/relationships/oleObject" Target="../embeddings/oleObject43.bin"/><Relationship Id="rId5" Type="http://schemas.openxmlformats.org/officeDocument/2006/relationships/image" Target="../media/image4.emf"/><Relationship Id="rId10" Type="http://schemas.openxmlformats.org/officeDocument/2006/relationships/oleObject" Target="../embeddings/oleObject42.bin"/><Relationship Id="rId4" Type="http://schemas.openxmlformats.org/officeDocument/2006/relationships/oleObject" Target="../embeddings/oleObject37.bin"/><Relationship Id="rId9" Type="http://schemas.openxmlformats.org/officeDocument/2006/relationships/oleObject" Target="../embeddings/oleObject4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7.bin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oleObject46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45.bin"/><Relationship Id="rId11" Type="http://schemas.openxmlformats.org/officeDocument/2006/relationships/oleObject" Target="../embeddings/oleObject50.bin"/><Relationship Id="rId5" Type="http://schemas.openxmlformats.org/officeDocument/2006/relationships/image" Target="../media/image4.emf"/><Relationship Id="rId10" Type="http://schemas.openxmlformats.org/officeDocument/2006/relationships/oleObject" Target="../embeddings/oleObject49.bin"/><Relationship Id="rId4" Type="http://schemas.openxmlformats.org/officeDocument/2006/relationships/oleObject" Target="../embeddings/oleObject44.bin"/><Relationship Id="rId9" Type="http://schemas.openxmlformats.org/officeDocument/2006/relationships/oleObject" Target="../embeddings/oleObject48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4.bin"/><Relationship Id="rId13" Type="http://schemas.openxmlformats.org/officeDocument/2006/relationships/oleObject" Target="../embeddings/oleObject59.bin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oleObject53.bin"/><Relationship Id="rId12" Type="http://schemas.openxmlformats.org/officeDocument/2006/relationships/oleObject" Target="../embeddings/oleObject58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52.bin"/><Relationship Id="rId11" Type="http://schemas.openxmlformats.org/officeDocument/2006/relationships/oleObject" Target="../embeddings/oleObject57.bin"/><Relationship Id="rId5" Type="http://schemas.openxmlformats.org/officeDocument/2006/relationships/image" Target="../media/image4.emf"/><Relationship Id="rId10" Type="http://schemas.openxmlformats.org/officeDocument/2006/relationships/oleObject" Target="../embeddings/oleObject56.bin"/><Relationship Id="rId4" Type="http://schemas.openxmlformats.org/officeDocument/2006/relationships/oleObject" Target="../embeddings/oleObject51.bin"/><Relationship Id="rId9" Type="http://schemas.openxmlformats.org/officeDocument/2006/relationships/oleObject" Target="../embeddings/oleObject5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image" Target="../media/image4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11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10.bin"/><Relationship Id="rId11" Type="http://schemas.openxmlformats.org/officeDocument/2006/relationships/oleObject" Target="../embeddings/oleObject15.bin"/><Relationship Id="rId5" Type="http://schemas.openxmlformats.org/officeDocument/2006/relationships/image" Target="../media/image4.emf"/><Relationship Id="rId10" Type="http://schemas.openxmlformats.org/officeDocument/2006/relationships/oleObject" Target="../embeddings/oleObject14.bin"/><Relationship Id="rId4" Type="http://schemas.openxmlformats.org/officeDocument/2006/relationships/oleObject" Target="../embeddings/oleObject9.bin"/><Relationship Id="rId9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L46"/>
  <sheetViews>
    <sheetView view="pageBreakPreview" zoomScaleNormal="100" zoomScaleSheetLayoutView="100" workbookViewId="0">
      <selection activeCell="AH22" sqref="AH22:AI27"/>
    </sheetView>
  </sheetViews>
  <sheetFormatPr defaultColWidth="7.5703125" defaultRowHeight="18.75" customHeight="1"/>
  <cols>
    <col min="1" max="31" width="3.85546875" style="1" customWidth="1"/>
    <col min="32" max="33" width="2.85546875" style="1" customWidth="1"/>
    <col min="34" max="34" width="9.5703125" style="1" bestFit="1" customWidth="1"/>
    <col min="35" max="209" width="7.5703125" style="1"/>
    <col min="210" max="210" width="1.5703125" style="1" customWidth="1"/>
    <col min="211" max="214" width="3.5703125" style="1" customWidth="1"/>
    <col min="215" max="218" width="5.42578125" style="1" customWidth="1"/>
    <col min="219" max="234" width="4" style="1" customWidth="1"/>
    <col min="235" max="236" width="3.42578125" style="1" customWidth="1"/>
    <col min="237" max="274" width="3.5703125" style="1" customWidth="1"/>
    <col min="275" max="465" width="7.5703125" style="1"/>
    <col min="466" max="466" width="1.5703125" style="1" customWidth="1"/>
    <col min="467" max="470" width="3.5703125" style="1" customWidth="1"/>
    <col min="471" max="474" width="5.42578125" style="1" customWidth="1"/>
    <col min="475" max="490" width="4" style="1" customWidth="1"/>
    <col min="491" max="492" width="3.42578125" style="1" customWidth="1"/>
    <col min="493" max="530" width="3.5703125" style="1" customWidth="1"/>
    <col min="531" max="721" width="7.5703125" style="1"/>
    <col min="722" max="722" width="1.5703125" style="1" customWidth="1"/>
    <col min="723" max="726" width="3.5703125" style="1" customWidth="1"/>
    <col min="727" max="730" width="5.42578125" style="1" customWidth="1"/>
    <col min="731" max="746" width="4" style="1" customWidth="1"/>
    <col min="747" max="748" width="3.42578125" style="1" customWidth="1"/>
    <col min="749" max="786" width="3.5703125" style="1" customWidth="1"/>
    <col min="787" max="977" width="7.5703125" style="1"/>
    <col min="978" max="978" width="1.5703125" style="1" customWidth="1"/>
    <col min="979" max="982" width="3.5703125" style="1" customWidth="1"/>
    <col min="983" max="986" width="5.42578125" style="1" customWidth="1"/>
    <col min="987" max="1002" width="4" style="1" customWidth="1"/>
    <col min="1003" max="1004" width="3.42578125" style="1" customWidth="1"/>
    <col min="1005" max="1042" width="3.5703125" style="1" customWidth="1"/>
    <col min="1043" max="1233" width="7.5703125" style="1"/>
    <col min="1234" max="1234" width="1.5703125" style="1" customWidth="1"/>
    <col min="1235" max="1238" width="3.5703125" style="1" customWidth="1"/>
    <col min="1239" max="1242" width="5.42578125" style="1" customWidth="1"/>
    <col min="1243" max="1258" width="4" style="1" customWidth="1"/>
    <col min="1259" max="1260" width="3.42578125" style="1" customWidth="1"/>
    <col min="1261" max="1298" width="3.5703125" style="1" customWidth="1"/>
    <col min="1299" max="1489" width="7.5703125" style="1"/>
    <col min="1490" max="1490" width="1.5703125" style="1" customWidth="1"/>
    <col min="1491" max="1494" width="3.5703125" style="1" customWidth="1"/>
    <col min="1495" max="1498" width="5.42578125" style="1" customWidth="1"/>
    <col min="1499" max="1514" width="4" style="1" customWidth="1"/>
    <col min="1515" max="1516" width="3.42578125" style="1" customWidth="1"/>
    <col min="1517" max="1554" width="3.5703125" style="1" customWidth="1"/>
    <col min="1555" max="1745" width="7.5703125" style="1"/>
    <col min="1746" max="1746" width="1.5703125" style="1" customWidth="1"/>
    <col min="1747" max="1750" width="3.5703125" style="1" customWidth="1"/>
    <col min="1751" max="1754" width="5.42578125" style="1" customWidth="1"/>
    <col min="1755" max="1770" width="4" style="1" customWidth="1"/>
    <col min="1771" max="1772" width="3.42578125" style="1" customWidth="1"/>
    <col min="1773" max="1810" width="3.5703125" style="1" customWidth="1"/>
    <col min="1811" max="2001" width="7.5703125" style="1"/>
    <col min="2002" max="2002" width="1.5703125" style="1" customWidth="1"/>
    <col min="2003" max="2006" width="3.5703125" style="1" customWidth="1"/>
    <col min="2007" max="2010" width="5.42578125" style="1" customWidth="1"/>
    <col min="2011" max="2026" width="4" style="1" customWidth="1"/>
    <col min="2027" max="2028" width="3.42578125" style="1" customWidth="1"/>
    <col min="2029" max="2066" width="3.5703125" style="1" customWidth="1"/>
    <col min="2067" max="2257" width="7.5703125" style="1"/>
    <col min="2258" max="2258" width="1.5703125" style="1" customWidth="1"/>
    <col min="2259" max="2262" width="3.5703125" style="1" customWidth="1"/>
    <col min="2263" max="2266" width="5.42578125" style="1" customWidth="1"/>
    <col min="2267" max="2282" width="4" style="1" customWidth="1"/>
    <col min="2283" max="2284" width="3.42578125" style="1" customWidth="1"/>
    <col min="2285" max="2322" width="3.5703125" style="1" customWidth="1"/>
    <col min="2323" max="2513" width="7.5703125" style="1"/>
    <col min="2514" max="2514" width="1.5703125" style="1" customWidth="1"/>
    <col min="2515" max="2518" width="3.5703125" style="1" customWidth="1"/>
    <col min="2519" max="2522" width="5.42578125" style="1" customWidth="1"/>
    <col min="2523" max="2538" width="4" style="1" customWidth="1"/>
    <col min="2539" max="2540" width="3.42578125" style="1" customWidth="1"/>
    <col min="2541" max="2578" width="3.5703125" style="1" customWidth="1"/>
    <col min="2579" max="2769" width="7.5703125" style="1"/>
    <col min="2770" max="2770" width="1.5703125" style="1" customWidth="1"/>
    <col min="2771" max="2774" width="3.5703125" style="1" customWidth="1"/>
    <col min="2775" max="2778" width="5.42578125" style="1" customWidth="1"/>
    <col min="2779" max="2794" width="4" style="1" customWidth="1"/>
    <col min="2795" max="2796" width="3.42578125" style="1" customWidth="1"/>
    <col min="2797" max="2834" width="3.5703125" style="1" customWidth="1"/>
    <col min="2835" max="3025" width="7.5703125" style="1"/>
    <col min="3026" max="3026" width="1.5703125" style="1" customWidth="1"/>
    <col min="3027" max="3030" width="3.5703125" style="1" customWidth="1"/>
    <col min="3031" max="3034" width="5.42578125" style="1" customWidth="1"/>
    <col min="3035" max="3050" width="4" style="1" customWidth="1"/>
    <col min="3051" max="3052" width="3.42578125" style="1" customWidth="1"/>
    <col min="3053" max="3090" width="3.5703125" style="1" customWidth="1"/>
    <col min="3091" max="3281" width="7.5703125" style="1"/>
    <col min="3282" max="3282" width="1.5703125" style="1" customWidth="1"/>
    <col min="3283" max="3286" width="3.5703125" style="1" customWidth="1"/>
    <col min="3287" max="3290" width="5.42578125" style="1" customWidth="1"/>
    <col min="3291" max="3306" width="4" style="1" customWidth="1"/>
    <col min="3307" max="3308" width="3.42578125" style="1" customWidth="1"/>
    <col min="3309" max="3346" width="3.5703125" style="1" customWidth="1"/>
    <col min="3347" max="3537" width="7.5703125" style="1"/>
    <col min="3538" max="3538" width="1.5703125" style="1" customWidth="1"/>
    <col min="3539" max="3542" width="3.5703125" style="1" customWidth="1"/>
    <col min="3543" max="3546" width="5.42578125" style="1" customWidth="1"/>
    <col min="3547" max="3562" width="4" style="1" customWidth="1"/>
    <col min="3563" max="3564" width="3.42578125" style="1" customWidth="1"/>
    <col min="3565" max="3602" width="3.5703125" style="1" customWidth="1"/>
    <col min="3603" max="3793" width="7.5703125" style="1"/>
    <col min="3794" max="3794" width="1.5703125" style="1" customWidth="1"/>
    <col min="3795" max="3798" width="3.5703125" style="1" customWidth="1"/>
    <col min="3799" max="3802" width="5.42578125" style="1" customWidth="1"/>
    <col min="3803" max="3818" width="4" style="1" customWidth="1"/>
    <col min="3819" max="3820" width="3.42578125" style="1" customWidth="1"/>
    <col min="3821" max="3858" width="3.5703125" style="1" customWidth="1"/>
    <col min="3859" max="4049" width="7.5703125" style="1"/>
    <col min="4050" max="4050" width="1.5703125" style="1" customWidth="1"/>
    <col min="4051" max="4054" width="3.5703125" style="1" customWidth="1"/>
    <col min="4055" max="4058" width="5.42578125" style="1" customWidth="1"/>
    <col min="4059" max="4074" width="4" style="1" customWidth="1"/>
    <col min="4075" max="4076" width="3.42578125" style="1" customWidth="1"/>
    <col min="4077" max="4114" width="3.5703125" style="1" customWidth="1"/>
    <col min="4115" max="4305" width="7.5703125" style="1"/>
    <col min="4306" max="4306" width="1.5703125" style="1" customWidth="1"/>
    <col min="4307" max="4310" width="3.5703125" style="1" customWidth="1"/>
    <col min="4311" max="4314" width="5.42578125" style="1" customWidth="1"/>
    <col min="4315" max="4330" width="4" style="1" customWidth="1"/>
    <col min="4331" max="4332" width="3.42578125" style="1" customWidth="1"/>
    <col min="4333" max="4370" width="3.5703125" style="1" customWidth="1"/>
    <col min="4371" max="4561" width="7.5703125" style="1"/>
    <col min="4562" max="4562" width="1.5703125" style="1" customWidth="1"/>
    <col min="4563" max="4566" width="3.5703125" style="1" customWidth="1"/>
    <col min="4567" max="4570" width="5.42578125" style="1" customWidth="1"/>
    <col min="4571" max="4586" width="4" style="1" customWidth="1"/>
    <col min="4587" max="4588" width="3.42578125" style="1" customWidth="1"/>
    <col min="4589" max="4626" width="3.5703125" style="1" customWidth="1"/>
    <col min="4627" max="4817" width="7.5703125" style="1"/>
    <col min="4818" max="4818" width="1.5703125" style="1" customWidth="1"/>
    <col min="4819" max="4822" width="3.5703125" style="1" customWidth="1"/>
    <col min="4823" max="4826" width="5.42578125" style="1" customWidth="1"/>
    <col min="4827" max="4842" width="4" style="1" customWidth="1"/>
    <col min="4843" max="4844" width="3.42578125" style="1" customWidth="1"/>
    <col min="4845" max="4882" width="3.5703125" style="1" customWidth="1"/>
    <col min="4883" max="5073" width="7.5703125" style="1"/>
    <col min="5074" max="5074" width="1.5703125" style="1" customWidth="1"/>
    <col min="5075" max="5078" width="3.5703125" style="1" customWidth="1"/>
    <col min="5079" max="5082" width="5.42578125" style="1" customWidth="1"/>
    <col min="5083" max="5098" width="4" style="1" customWidth="1"/>
    <col min="5099" max="5100" width="3.42578125" style="1" customWidth="1"/>
    <col min="5101" max="5138" width="3.5703125" style="1" customWidth="1"/>
    <col min="5139" max="5329" width="7.5703125" style="1"/>
    <col min="5330" max="5330" width="1.5703125" style="1" customWidth="1"/>
    <col min="5331" max="5334" width="3.5703125" style="1" customWidth="1"/>
    <col min="5335" max="5338" width="5.42578125" style="1" customWidth="1"/>
    <col min="5339" max="5354" width="4" style="1" customWidth="1"/>
    <col min="5355" max="5356" width="3.42578125" style="1" customWidth="1"/>
    <col min="5357" max="5394" width="3.5703125" style="1" customWidth="1"/>
    <col min="5395" max="5585" width="7.5703125" style="1"/>
    <col min="5586" max="5586" width="1.5703125" style="1" customWidth="1"/>
    <col min="5587" max="5590" width="3.5703125" style="1" customWidth="1"/>
    <col min="5591" max="5594" width="5.42578125" style="1" customWidth="1"/>
    <col min="5595" max="5610" width="4" style="1" customWidth="1"/>
    <col min="5611" max="5612" width="3.42578125" style="1" customWidth="1"/>
    <col min="5613" max="5650" width="3.5703125" style="1" customWidth="1"/>
    <col min="5651" max="5841" width="7.5703125" style="1"/>
    <col min="5842" max="5842" width="1.5703125" style="1" customWidth="1"/>
    <col min="5843" max="5846" width="3.5703125" style="1" customWidth="1"/>
    <col min="5847" max="5850" width="5.42578125" style="1" customWidth="1"/>
    <col min="5851" max="5866" width="4" style="1" customWidth="1"/>
    <col min="5867" max="5868" width="3.42578125" style="1" customWidth="1"/>
    <col min="5869" max="5906" width="3.5703125" style="1" customWidth="1"/>
    <col min="5907" max="6097" width="7.5703125" style="1"/>
    <col min="6098" max="6098" width="1.5703125" style="1" customWidth="1"/>
    <col min="6099" max="6102" width="3.5703125" style="1" customWidth="1"/>
    <col min="6103" max="6106" width="5.42578125" style="1" customWidth="1"/>
    <col min="6107" max="6122" width="4" style="1" customWidth="1"/>
    <col min="6123" max="6124" width="3.42578125" style="1" customWidth="1"/>
    <col min="6125" max="6162" width="3.5703125" style="1" customWidth="1"/>
    <col min="6163" max="6353" width="7.5703125" style="1"/>
    <col min="6354" max="6354" width="1.5703125" style="1" customWidth="1"/>
    <col min="6355" max="6358" width="3.5703125" style="1" customWidth="1"/>
    <col min="6359" max="6362" width="5.42578125" style="1" customWidth="1"/>
    <col min="6363" max="6378" width="4" style="1" customWidth="1"/>
    <col min="6379" max="6380" width="3.42578125" style="1" customWidth="1"/>
    <col min="6381" max="6418" width="3.5703125" style="1" customWidth="1"/>
    <col min="6419" max="6609" width="7.5703125" style="1"/>
    <col min="6610" max="6610" width="1.5703125" style="1" customWidth="1"/>
    <col min="6611" max="6614" width="3.5703125" style="1" customWidth="1"/>
    <col min="6615" max="6618" width="5.42578125" style="1" customWidth="1"/>
    <col min="6619" max="6634" width="4" style="1" customWidth="1"/>
    <col min="6635" max="6636" width="3.42578125" style="1" customWidth="1"/>
    <col min="6637" max="6674" width="3.5703125" style="1" customWidth="1"/>
    <col min="6675" max="6865" width="7.5703125" style="1"/>
    <col min="6866" max="6866" width="1.5703125" style="1" customWidth="1"/>
    <col min="6867" max="6870" width="3.5703125" style="1" customWidth="1"/>
    <col min="6871" max="6874" width="5.42578125" style="1" customWidth="1"/>
    <col min="6875" max="6890" width="4" style="1" customWidth="1"/>
    <col min="6891" max="6892" width="3.42578125" style="1" customWidth="1"/>
    <col min="6893" max="6930" width="3.5703125" style="1" customWidth="1"/>
    <col min="6931" max="7121" width="7.5703125" style="1"/>
    <col min="7122" max="7122" width="1.5703125" style="1" customWidth="1"/>
    <col min="7123" max="7126" width="3.5703125" style="1" customWidth="1"/>
    <col min="7127" max="7130" width="5.42578125" style="1" customWidth="1"/>
    <col min="7131" max="7146" width="4" style="1" customWidth="1"/>
    <col min="7147" max="7148" width="3.42578125" style="1" customWidth="1"/>
    <col min="7149" max="7186" width="3.5703125" style="1" customWidth="1"/>
    <col min="7187" max="7377" width="7.5703125" style="1"/>
    <col min="7378" max="7378" width="1.5703125" style="1" customWidth="1"/>
    <col min="7379" max="7382" width="3.5703125" style="1" customWidth="1"/>
    <col min="7383" max="7386" width="5.42578125" style="1" customWidth="1"/>
    <col min="7387" max="7402" width="4" style="1" customWidth="1"/>
    <col min="7403" max="7404" width="3.42578125" style="1" customWidth="1"/>
    <col min="7405" max="7442" width="3.5703125" style="1" customWidth="1"/>
    <col min="7443" max="7633" width="7.5703125" style="1"/>
    <col min="7634" max="7634" width="1.5703125" style="1" customWidth="1"/>
    <col min="7635" max="7638" width="3.5703125" style="1" customWidth="1"/>
    <col min="7639" max="7642" width="5.42578125" style="1" customWidth="1"/>
    <col min="7643" max="7658" width="4" style="1" customWidth="1"/>
    <col min="7659" max="7660" width="3.42578125" style="1" customWidth="1"/>
    <col min="7661" max="7698" width="3.5703125" style="1" customWidth="1"/>
    <col min="7699" max="7889" width="7.5703125" style="1"/>
    <col min="7890" max="7890" width="1.5703125" style="1" customWidth="1"/>
    <col min="7891" max="7894" width="3.5703125" style="1" customWidth="1"/>
    <col min="7895" max="7898" width="5.42578125" style="1" customWidth="1"/>
    <col min="7899" max="7914" width="4" style="1" customWidth="1"/>
    <col min="7915" max="7916" width="3.42578125" style="1" customWidth="1"/>
    <col min="7917" max="7954" width="3.5703125" style="1" customWidth="1"/>
    <col min="7955" max="8145" width="7.5703125" style="1"/>
    <col min="8146" max="8146" width="1.5703125" style="1" customWidth="1"/>
    <col min="8147" max="8150" width="3.5703125" style="1" customWidth="1"/>
    <col min="8151" max="8154" width="5.42578125" style="1" customWidth="1"/>
    <col min="8155" max="8170" width="4" style="1" customWidth="1"/>
    <col min="8171" max="8172" width="3.42578125" style="1" customWidth="1"/>
    <col min="8173" max="8210" width="3.5703125" style="1" customWidth="1"/>
    <col min="8211" max="8401" width="7.5703125" style="1"/>
    <col min="8402" max="8402" width="1.5703125" style="1" customWidth="1"/>
    <col min="8403" max="8406" width="3.5703125" style="1" customWidth="1"/>
    <col min="8407" max="8410" width="5.42578125" style="1" customWidth="1"/>
    <col min="8411" max="8426" width="4" style="1" customWidth="1"/>
    <col min="8427" max="8428" width="3.42578125" style="1" customWidth="1"/>
    <col min="8429" max="8466" width="3.5703125" style="1" customWidth="1"/>
    <col min="8467" max="8657" width="7.5703125" style="1"/>
    <col min="8658" max="8658" width="1.5703125" style="1" customWidth="1"/>
    <col min="8659" max="8662" width="3.5703125" style="1" customWidth="1"/>
    <col min="8663" max="8666" width="5.42578125" style="1" customWidth="1"/>
    <col min="8667" max="8682" width="4" style="1" customWidth="1"/>
    <col min="8683" max="8684" width="3.42578125" style="1" customWidth="1"/>
    <col min="8685" max="8722" width="3.5703125" style="1" customWidth="1"/>
    <col min="8723" max="8913" width="7.5703125" style="1"/>
    <col min="8914" max="8914" width="1.5703125" style="1" customWidth="1"/>
    <col min="8915" max="8918" width="3.5703125" style="1" customWidth="1"/>
    <col min="8919" max="8922" width="5.42578125" style="1" customWidth="1"/>
    <col min="8923" max="8938" width="4" style="1" customWidth="1"/>
    <col min="8939" max="8940" width="3.42578125" style="1" customWidth="1"/>
    <col min="8941" max="8978" width="3.5703125" style="1" customWidth="1"/>
    <col min="8979" max="9169" width="7.5703125" style="1"/>
    <col min="9170" max="9170" width="1.5703125" style="1" customWidth="1"/>
    <col min="9171" max="9174" width="3.5703125" style="1" customWidth="1"/>
    <col min="9175" max="9178" width="5.42578125" style="1" customWidth="1"/>
    <col min="9179" max="9194" width="4" style="1" customWidth="1"/>
    <col min="9195" max="9196" width="3.42578125" style="1" customWidth="1"/>
    <col min="9197" max="9234" width="3.5703125" style="1" customWidth="1"/>
    <col min="9235" max="9425" width="7.5703125" style="1"/>
    <col min="9426" max="9426" width="1.5703125" style="1" customWidth="1"/>
    <col min="9427" max="9430" width="3.5703125" style="1" customWidth="1"/>
    <col min="9431" max="9434" width="5.42578125" style="1" customWidth="1"/>
    <col min="9435" max="9450" width="4" style="1" customWidth="1"/>
    <col min="9451" max="9452" width="3.42578125" style="1" customWidth="1"/>
    <col min="9453" max="9490" width="3.5703125" style="1" customWidth="1"/>
    <col min="9491" max="9681" width="7.5703125" style="1"/>
    <col min="9682" max="9682" width="1.5703125" style="1" customWidth="1"/>
    <col min="9683" max="9686" width="3.5703125" style="1" customWidth="1"/>
    <col min="9687" max="9690" width="5.42578125" style="1" customWidth="1"/>
    <col min="9691" max="9706" width="4" style="1" customWidth="1"/>
    <col min="9707" max="9708" width="3.42578125" style="1" customWidth="1"/>
    <col min="9709" max="9746" width="3.5703125" style="1" customWidth="1"/>
    <col min="9747" max="9937" width="7.5703125" style="1"/>
    <col min="9938" max="9938" width="1.5703125" style="1" customWidth="1"/>
    <col min="9939" max="9942" width="3.5703125" style="1" customWidth="1"/>
    <col min="9943" max="9946" width="5.42578125" style="1" customWidth="1"/>
    <col min="9947" max="9962" width="4" style="1" customWidth="1"/>
    <col min="9963" max="9964" width="3.42578125" style="1" customWidth="1"/>
    <col min="9965" max="10002" width="3.5703125" style="1" customWidth="1"/>
    <col min="10003" max="10193" width="7.5703125" style="1"/>
    <col min="10194" max="10194" width="1.5703125" style="1" customWidth="1"/>
    <col min="10195" max="10198" width="3.5703125" style="1" customWidth="1"/>
    <col min="10199" max="10202" width="5.42578125" style="1" customWidth="1"/>
    <col min="10203" max="10218" width="4" style="1" customWidth="1"/>
    <col min="10219" max="10220" width="3.42578125" style="1" customWidth="1"/>
    <col min="10221" max="10258" width="3.5703125" style="1" customWidth="1"/>
    <col min="10259" max="10449" width="7.5703125" style="1"/>
    <col min="10450" max="10450" width="1.5703125" style="1" customWidth="1"/>
    <col min="10451" max="10454" width="3.5703125" style="1" customWidth="1"/>
    <col min="10455" max="10458" width="5.42578125" style="1" customWidth="1"/>
    <col min="10459" max="10474" width="4" style="1" customWidth="1"/>
    <col min="10475" max="10476" width="3.42578125" style="1" customWidth="1"/>
    <col min="10477" max="10514" width="3.5703125" style="1" customWidth="1"/>
    <col min="10515" max="10705" width="7.5703125" style="1"/>
    <col min="10706" max="10706" width="1.5703125" style="1" customWidth="1"/>
    <col min="10707" max="10710" width="3.5703125" style="1" customWidth="1"/>
    <col min="10711" max="10714" width="5.42578125" style="1" customWidth="1"/>
    <col min="10715" max="10730" width="4" style="1" customWidth="1"/>
    <col min="10731" max="10732" width="3.42578125" style="1" customWidth="1"/>
    <col min="10733" max="10770" width="3.5703125" style="1" customWidth="1"/>
    <col min="10771" max="10961" width="7.5703125" style="1"/>
    <col min="10962" max="10962" width="1.5703125" style="1" customWidth="1"/>
    <col min="10963" max="10966" width="3.5703125" style="1" customWidth="1"/>
    <col min="10967" max="10970" width="5.42578125" style="1" customWidth="1"/>
    <col min="10971" max="10986" width="4" style="1" customWidth="1"/>
    <col min="10987" max="10988" width="3.42578125" style="1" customWidth="1"/>
    <col min="10989" max="11026" width="3.5703125" style="1" customWidth="1"/>
    <col min="11027" max="11217" width="7.5703125" style="1"/>
    <col min="11218" max="11218" width="1.5703125" style="1" customWidth="1"/>
    <col min="11219" max="11222" width="3.5703125" style="1" customWidth="1"/>
    <col min="11223" max="11226" width="5.42578125" style="1" customWidth="1"/>
    <col min="11227" max="11242" width="4" style="1" customWidth="1"/>
    <col min="11243" max="11244" width="3.42578125" style="1" customWidth="1"/>
    <col min="11245" max="11282" width="3.5703125" style="1" customWidth="1"/>
    <col min="11283" max="11473" width="7.5703125" style="1"/>
    <col min="11474" max="11474" width="1.5703125" style="1" customWidth="1"/>
    <col min="11475" max="11478" width="3.5703125" style="1" customWidth="1"/>
    <col min="11479" max="11482" width="5.42578125" style="1" customWidth="1"/>
    <col min="11483" max="11498" width="4" style="1" customWidth="1"/>
    <col min="11499" max="11500" width="3.42578125" style="1" customWidth="1"/>
    <col min="11501" max="11538" width="3.5703125" style="1" customWidth="1"/>
    <col min="11539" max="11729" width="7.5703125" style="1"/>
    <col min="11730" max="11730" width="1.5703125" style="1" customWidth="1"/>
    <col min="11731" max="11734" width="3.5703125" style="1" customWidth="1"/>
    <col min="11735" max="11738" width="5.42578125" style="1" customWidth="1"/>
    <col min="11739" max="11754" width="4" style="1" customWidth="1"/>
    <col min="11755" max="11756" width="3.42578125" style="1" customWidth="1"/>
    <col min="11757" max="11794" width="3.5703125" style="1" customWidth="1"/>
    <col min="11795" max="11985" width="7.5703125" style="1"/>
    <col min="11986" max="11986" width="1.5703125" style="1" customWidth="1"/>
    <col min="11987" max="11990" width="3.5703125" style="1" customWidth="1"/>
    <col min="11991" max="11994" width="5.42578125" style="1" customWidth="1"/>
    <col min="11995" max="12010" width="4" style="1" customWidth="1"/>
    <col min="12011" max="12012" width="3.42578125" style="1" customWidth="1"/>
    <col min="12013" max="12050" width="3.5703125" style="1" customWidth="1"/>
    <col min="12051" max="12241" width="7.5703125" style="1"/>
    <col min="12242" max="12242" width="1.5703125" style="1" customWidth="1"/>
    <col min="12243" max="12246" width="3.5703125" style="1" customWidth="1"/>
    <col min="12247" max="12250" width="5.42578125" style="1" customWidth="1"/>
    <col min="12251" max="12266" width="4" style="1" customWidth="1"/>
    <col min="12267" max="12268" width="3.42578125" style="1" customWidth="1"/>
    <col min="12269" max="12306" width="3.5703125" style="1" customWidth="1"/>
    <col min="12307" max="12497" width="7.5703125" style="1"/>
    <col min="12498" max="12498" width="1.5703125" style="1" customWidth="1"/>
    <col min="12499" max="12502" width="3.5703125" style="1" customWidth="1"/>
    <col min="12503" max="12506" width="5.42578125" style="1" customWidth="1"/>
    <col min="12507" max="12522" width="4" style="1" customWidth="1"/>
    <col min="12523" max="12524" width="3.42578125" style="1" customWidth="1"/>
    <col min="12525" max="12562" width="3.5703125" style="1" customWidth="1"/>
    <col min="12563" max="12753" width="7.5703125" style="1"/>
    <col min="12754" max="12754" width="1.5703125" style="1" customWidth="1"/>
    <col min="12755" max="12758" width="3.5703125" style="1" customWidth="1"/>
    <col min="12759" max="12762" width="5.42578125" style="1" customWidth="1"/>
    <col min="12763" max="12778" width="4" style="1" customWidth="1"/>
    <col min="12779" max="12780" width="3.42578125" style="1" customWidth="1"/>
    <col min="12781" max="12818" width="3.5703125" style="1" customWidth="1"/>
    <col min="12819" max="13009" width="7.5703125" style="1"/>
    <col min="13010" max="13010" width="1.5703125" style="1" customWidth="1"/>
    <col min="13011" max="13014" width="3.5703125" style="1" customWidth="1"/>
    <col min="13015" max="13018" width="5.42578125" style="1" customWidth="1"/>
    <col min="13019" max="13034" width="4" style="1" customWidth="1"/>
    <col min="13035" max="13036" width="3.42578125" style="1" customWidth="1"/>
    <col min="13037" max="13074" width="3.5703125" style="1" customWidth="1"/>
    <col min="13075" max="13265" width="7.5703125" style="1"/>
    <col min="13266" max="13266" width="1.5703125" style="1" customWidth="1"/>
    <col min="13267" max="13270" width="3.5703125" style="1" customWidth="1"/>
    <col min="13271" max="13274" width="5.42578125" style="1" customWidth="1"/>
    <col min="13275" max="13290" width="4" style="1" customWidth="1"/>
    <col min="13291" max="13292" width="3.42578125" style="1" customWidth="1"/>
    <col min="13293" max="13330" width="3.5703125" style="1" customWidth="1"/>
    <col min="13331" max="13521" width="7.5703125" style="1"/>
    <col min="13522" max="13522" width="1.5703125" style="1" customWidth="1"/>
    <col min="13523" max="13526" width="3.5703125" style="1" customWidth="1"/>
    <col min="13527" max="13530" width="5.42578125" style="1" customWidth="1"/>
    <col min="13531" max="13546" width="4" style="1" customWidth="1"/>
    <col min="13547" max="13548" width="3.42578125" style="1" customWidth="1"/>
    <col min="13549" max="13586" width="3.5703125" style="1" customWidth="1"/>
    <col min="13587" max="13777" width="7.5703125" style="1"/>
    <col min="13778" max="13778" width="1.5703125" style="1" customWidth="1"/>
    <col min="13779" max="13782" width="3.5703125" style="1" customWidth="1"/>
    <col min="13783" max="13786" width="5.42578125" style="1" customWidth="1"/>
    <col min="13787" max="13802" width="4" style="1" customWidth="1"/>
    <col min="13803" max="13804" width="3.42578125" style="1" customWidth="1"/>
    <col min="13805" max="13842" width="3.5703125" style="1" customWidth="1"/>
    <col min="13843" max="14033" width="7.5703125" style="1"/>
    <col min="14034" max="14034" width="1.5703125" style="1" customWidth="1"/>
    <col min="14035" max="14038" width="3.5703125" style="1" customWidth="1"/>
    <col min="14039" max="14042" width="5.42578125" style="1" customWidth="1"/>
    <col min="14043" max="14058" width="4" style="1" customWidth="1"/>
    <col min="14059" max="14060" width="3.42578125" style="1" customWidth="1"/>
    <col min="14061" max="14098" width="3.5703125" style="1" customWidth="1"/>
    <col min="14099" max="14289" width="7.5703125" style="1"/>
    <col min="14290" max="14290" width="1.5703125" style="1" customWidth="1"/>
    <col min="14291" max="14294" width="3.5703125" style="1" customWidth="1"/>
    <col min="14295" max="14298" width="5.42578125" style="1" customWidth="1"/>
    <col min="14299" max="14314" width="4" style="1" customWidth="1"/>
    <col min="14315" max="14316" width="3.42578125" style="1" customWidth="1"/>
    <col min="14317" max="14354" width="3.5703125" style="1" customWidth="1"/>
    <col min="14355" max="14545" width="7.5703125" style="1"/>
    <col min="14546" max="14546" width="1.5703125" style="1" customWidth="1"/>
    <col min="14547" max="14550" width="3.5703125" style="1" customWidth="1"/>
    <col min="14551" max="14554" width="5.42578125" style="1" customWidth="1"/>
    <col min="14555" max="14570" width="4" style="1" customWidth="1"/>
    <col min="14571" max="14572" width="3.42578125" style="1" customWidth="1"/>
    <col min="14573" max="14610" width="3.5703125" style="1" customWidth="1"/>
    <col min="14611" max="14801" width="7.5703125" style="1"/>
    <col min="14802" max="14802" width="1.5703125" style="1" customWidth="1"/>
    <col min="14803" max="14806" width="3.5703125" style="1" customWidth="1"/>
    <col min="14807" max="14810" width="5.42578125" style="1" customWidth="1"/>
    <col min="14811" max="14826" width="4" style="1" customWidth="1"/>
    <col min="14827" max="14828" width="3.42578125" style="1" customWidth="1"/>
    <col min="14829" max="14866" width="3.5703125" style="1" customWidth="1"/>
    <col min="14867" max="15057" width="7.5703125" style="1"/>
    <col min="15058" max="15058" width="1.5703125" style="1" customWidth="1"/>
    <col min="15059" max="15062" width="3.5703125" style="1" customWidth="1"/>
    <col min="15063" max="15066" width="5.42578125" style="1" customWidth="1"/>
    <col min="15067" max="15082" width="4" style="1" customWidth="1"/>
    <col min="15083" max="15084" width="3.42578125" style="1" customWidth="1"/>
    <col min="15085" max="15122" width="3.5703125" style="1" customWidth="1"/>
    <col min="15123" max="15313" width="7.5703125" style="1"/>
    <col min="15314" max="15314" width="1.5703125" style="1" customWidth="1"/>
    <col min="15315" max="15318" width="3.5703125" style="1" customWidth="1"/>
    <col min="15319" max="15322" width="5.42578125" style="1" customWidth="1"/>
    <col min="15323" max="15338" width="4" style="1" customWidth="1"/>
    <col min="15339" max="15340" width="3.42578125" style="1" customWidth="1"/>
    <col min="15341" max="15378" width="3.5703125" style="1" customWidth="1"/>
    <col min="15379" max="15569" width="7.5703125" style="1"/>
    <col min="15570" max="15570" width="1.5703125" style="1" customWidth="1"/>
    <col min="15571" max="15574" width="3.5703125" style="1" customWidth="1"/>
    <col min="15575" max="15578" width="5.42578125" style="1" customWidth="1"/>
    <col min="15579" max="15594" width="4" style="1" customWidth="1"/>
    <col min="15595" max="15596" width="3.42578125" style="1" customWidth="1"/>
    <col min="15597" max="15634" width="3.5703125" style="1" customWidth="1"/>
    <col min="15635" max="15825" width="7.5703125" style="1"/>
    <col min="15826" max="15826" width="1.5703125" style="1" customWidth="1"/>
    <col min="15827" max="15830" width="3.5703125" style="1" customWidth="1"/>
    <col min="15831" max="15834" width="5.42578125" style="1" customWidth="1"/>
    <col min="15835" max="15850" width="4" style="1" customWidth="1"/>
    <col min="15851" max="15852" width="3.42578125" style="1" customWidth="1"/>
    <col min="15853" max="15890" width="3.5703125" style="1" customWidth="1"/>
    <col min="15891" max="16081" width="7.5703125" style="1"/>
    <col min="16082" max="16082" width="1.5703125" style="1" customWidth="1"/>
    <col min="16083" max="16086" width="3.5703125" style="1" customWidth="1"/>
    <col min="16087" max="16090" width="5.42578125" style="1" customWidth="1"/>
    <col min="16091" max="16106" width="4" style="1" customWidth="1"/>
    <col min="16107" max="16108" width="3.42578125" style="1" customWidth="1"/>
    <col min="16109" max="16146" width="3.5703125" style="1" customWidth="1"/>
    <col min="16147" max="16384" width="7.5703125" style="1"/>
  </cols>
  <sheetData>
    <row r="1" spans="1:38" ht="21.7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238" t="s">
        <v>1</v>
      </c>
      <c r="M1" s="238"/>
      <c r="N1" s="330" t="s">
        <v>137</v>
      </c>
      <c r="O1" s="330"/>
      <c r="P1" s="330"/>
      <c r="Q1" s="330"/>
      <c r="R1" s="330"/>
      <c r="S1" s="239"/>
      <c r="T1" s="239"/>
      <c r="U1" s="239"/>
      <c r="V1" s="239"/>
      <c r="W1" s="239"/>
      <c r="X1" s="239"/>
      <c r="Y1" s="239"/>
      <c r="Z1" s="239" t="s">
        <v>138</v>
      </c>
      <c r="AA1" s="239"/>
      <c r="AB1" s="266">
        <v>1</v>
      </c>
      <c r="AC1" s="267" t="s">
        <v>139</v>
      </c>
      <c r="AD1" s="267">
        <v>1</v>
      </c>
      <c r="AE1" s="4"/>
      <c r="AF1" s="4"/>
      <c r="AG1" s="4"/>
      <c r="AH1" s="5"/>
    </row>
    <row r="2" spans="1:38" ht="21.75">
      <c r="A2" s="324"/>
      <c r="B2" s="324"/>
      <c r="C2" s="324"/>
      <c r="D2" s="324"/>
      <c r="E2" s="324"/>
      <c r="F2" s="324"/>
      <c r="G2" s="324"/>
      <c r="H2" s="324"/>
      <c r="I2" s="324"/>
      <c r="J2" s="239" t="s">
        <v>2</v>
      </c>
      <c r="K2" s="2"/>
      <c r="M2" s="238"/>
      <c r="N2" s="331">
        <v>42355</v>
      </c>
      <c r="O2" s="331"/>
      <c r="P2" s="331"/>
      <c r="Q2" s="331"/>
      <c r="R2" s="331"/>
      <c r="S2" s="239" t="s">
        <v>3</v>
      </c>
      <c r="T2" s="239"/>
      <c r="V2" s="238"/>
      <c r="W2" s="318">
        <v>42358</v>
      </c>
      <c r="X2" s="318"/>
      <c r="Y2" s="318"/>
      <c r="Z2" s="318"/>
      <c r="AA2" s="318"/>
      <c r="AB2" s="239"/>
      <c r="AC2" s="239"/>
      <c r="AD2" s="239"/>
      <c r="AE2" s="4"/>
      <c r="AF2" s="4"/>
      <c r="AG2" s="4"/>
      <c r="AH2" s="5"/>
      <c r="AJ2" s="7"/>
    </row>
    <row r="3" spans="1:38" ht="21.75">
      <c r="A3" s="325" t="s">
        <v>140</v>
      </c>
      <c r="B3" s="325"/>
      <c r="C3" s="325"/>
      <c r="D3" s="325"/>
      <c r="E3" s="325"/>
      <c r="F3" s="325"/>
      <c r="G3" s="325"/>
      <c r="H3" s="325"/>
      <c r="I3" s="325"/>
      <c r="J3" s="238" t="s">
        <v>5</v>
      </c>
      <c r="M3" s="238"/>
      <c r="N3" s="238"/>
      <c r="O3" s="249">
        <v>20</v>
      </c>
      <c r="P3" s="240" t="s">
        <v>141</v>
      </c>
      <c r="Q3" s="249">
        <v>50</v>
      </c>
      <c r="R3" s="241" t="s">
        <v>6</v>
      </c>
      <c r="T3" s="239"/>
      <c r="W3" s="238"/>
      <c r="X3" s="238"/>
      <c r="Y3" s="238"/>
      <c r="Z3" s="238"/>
      <c r="AA3" s="238"/>
      <c r="AB3" s="238"/>
      <c r="AC3" s="238"/>
      <c r="AD3" s="238"/>
      <c r="AE3" s="2"/>
      <c r="AF3" s="2"/>
      <c r="AG3" s="2"/>
      <c r="AH3" s="5"/>
      <c r="AJ3" s="7"/>
    </row>
    <row r="4" spans="1:38" ht="21.75">
      <c r="A4" s="326" t="s">
        <v>226</v>
      </c>
      <c r="B4" s="326"/>
      <c r="C4" s="326"/>
      <c r="D4" s="326"/>
      <c r="E4" s="326"/>
      <c r="F4" s="326"/>
      <c r="G4" s="326"/>
      <c r="H4" s="326"/>
      <c r="I4" s="326"/>
      <c r="J4" s="238" t="s">
        <v>142</v>
      </c>
      <c r="M4" s="238"/>
      <c r="N4" s="238"/>
      <c r="O4" s="238" t="s">
        <v>4</v>
      </c>
      <c r="P4" s="238"/>
      <c r="R4" s="238"/>
      <c r="S4" s="238"/>
      <c r="T4" s="238" t="s">
        <v>7</v>
      </c>
      <c r="U4" s="238"/>
      <c r="V4" s="238"/>
      <c r="W4" s="238"/>
      <c r="X4" s="238"/>
      <c r="Z4" s="238"/>
      <c r="AA4" s="238"/>
      <c r="AB4" s="238"/>
      <c r="AC4" s="238"/>
      <c r="AD4" s="238"/>
      <c r="AE4" s="2"/>
      <c r="AF4" s="2"/>
      <c r="AG4" s="2"/>
      <c r="AH4" s="5"/>
      <c r="AJ4" s="7"/>
    </row>
    <row r="5" spans="1:38" s="5" customFormat="1" ht="23.1" customHeight="1">
      <c r="A5" s="269" t="s">
        <v>8</v>
      </c>
      <c r="B5" s="269"/>
      <c r="C5" s="269"/>
      <c r="D5" s="269"/>
      <c r="E5" s="269"/>
      <c r="F5" s="319" t="s">
        <v>96</v>
      </c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9"/>
      <c r="T5" s="319"/>
      <c r="U5" s="269"/>
      <c r="V5" s="269"/>
      <c r="W5" s="269"/>
      <c r="X5" s="269"/>
      <c r="Y5" s="269"/>
      <c r="Z5" s="269"/>
      <c r="AA5" s="269"/>
      <c r="AB5" s="269"/>
      <c r="AC5" s="269"/>
      <c r="AD5" s="242"/>
      <c r="AJ5" s="7"/>
    </row>
    <row r="6" spans="1:38" s="5" customFormat="1" ht="23.1" customHeight="1">
      <c r="A6" s="269" t="s">
        <v>143</v>
      </c>
      <c r="B6" s="269"/>
      <c r="C6" s="269"/>
      <c r="D6" s="269"/>
      <c r="E6" s="269"/>
      <c r="F6" s="320" t="s">
        <v>226</v>
      </c>
      <c r="G6" s="320"/>
      <c r="H6" s="320"/>
      <c r="I6" s="320"/>
      <c r="J6" s="320"/>
      <c r="K6" s="320"/>
      <c r="L6" s="320"/>
      <c r="M6" s="250" t="s">
        <v>9</v>
      </c>
      <c r="N6" s="250"/>
      <c r="O6" s="250"/>
      <c r="Q6" s="319" t="s">
        <v>148</v>
      </c>
      <c r="R6" s="319"/>
      <c r="S6" s="319"/>
      <c r="T6" s="319"/>
      <c r="U6" s="319"/>
      <c r="V6" s="269" t="s">
        <v>10</v>
      </c>
      <c r="W6" s="269"/>
      <c r="X6" s="319" t="s">
        <v>179</v>
      </c>
      <c r="Y6" s="319"/>
      <c r="Z6" s="319"/>
      <c r="AA6" s="319"/>
      <c r="AB6" s="319"/>
      <c r="AC6" s="269"/>
      <c r="AD6" s="242"/>
      <c r="AH6" s="6"/>
      <c r="AI6" s="6"/>
      <c r="AJ6" s="7"/>
    </row>
    <row r="7" spans="1:38" s="5" customFormat="1" ht="23.1" customHeight="1">
      <c r="A7" s="269" t="s">
        <v>11</v>
      </c>
      <c r="B7" s="270"/>
      <c r="C7" s="270"/>
      <c r="D7" s="321">
        <v>123</v>
      </c>
      <c r="E7" s="321"/>
      <c r="F7" s="321"/>
      <c r="G7" s="321"/>
      <c r="H7" s="321"/>
      <c r="I7" s="269" t="s">
        <v>12</v>
      </c>
      <c r="J7" s="272"/>
      <c r="K7" s="321"/>
      <c r="L7" s="321"/>
      <c r="M7" s="321"/>
      <c r="N7" s="321"/>
      <c r="O7" s="273"/>
      <c r="P7" s="273"/>
      <c r="Q7" s="273"/>
      <c r="R7" s="273"/>
      <c r="S7" s="273"/>
      <c r="T7" s="273"/>
      <c r="U7" s="273"/>
      <c r="V7" s="273"/>
      <c r="W7" s="274"/>
      <c r="X7" s="269"/>
      <c r="Y7" s="269"/>
      <c r="Z7" s="269"/>
      <c r="AA7" s="269"/>
      <c r="AB7" s="269"/>
      <c r="AC7" s="269"/>
      <c r="AD7" s="242"/>
      <c r="AE7" s="11"/>
      <c r="AF7" s="11"/>
      <c r="AH7" s="6"/>
      <c r="AI7" s="6"/>
      <c r="AJ7" s="7"/>
    </row>
    <row r="8" spans="1:38" s="5" customFormat="1" ht="23.1" customHeight="1">
      <c r="A8" s="269" t="s">
        <v>192</v>
      </c>
      <c r="B8" s="270"/>
      <c r="C8" s="270"/>
      <c r="D8" s="273"/>
      <c r="E8" s="273"/>
      <c r="F8" s="273"/>
      <c r="G8" s="273"/>
      <c r="H8" s="273"/>
      <c r="I8" s="323"/>
      <c r="J8" s="323"/>
      <c r="K8" s="323"/>
      <c r="L8" s="323"/>
      <c r="M8" s="323"/>
      <c r="N8" s="323"/>
      <c r="O8" s="273" t="s">
        <v>193</v>
      </c>
      <c r="P8" s="273"/>
      <c r="Q8" s="273"/>
      <c r="R8" s="323"/>
      <c r="S8" s="323"/>
      <c r="T8" s="323"/>
      <c r="U8" s="323"/>
      <c r="V8" s="323"/>
      <c r="W8" s="323"/>
      <c r="X8" s="268" t="s">
        <v>194</v>
      </c>
      <c r="Y8" s="273" t="s">
        <v>193</v>
      </c>
      <c r="Z8" s="269"/>
      <c r="AA8" s="269"/>
      <c r="AB8" s="269"/>
      <c r="AC8" s="269"/>
      <c r="AD8" s="242"/>
      <c r="AE8" s="11"/>
      <c r="AF8" s="11"/>
      <c r="AH8" s="6"/>
      <c r="AI8" s="6"/>
      <c r="AJ8" s="7"/>
    </row>
    <row r="9" spans="1:38" s="5" customFormat="1" ht="23.1" customHeight="1">
      <c r="A9" s="244" t="s">
        <v>144</v>
      </c>
      <c r="B9" s="244"/>
      <c r="C9" s="244"/>
      <c r="D9" s="244"/>
      <c r="E9" s="244"/>
      <c r="F9" s="244"/>
      <c r="G9" s="244"/>
      <c r="H9" s="244" t="s">
        <v>145</v>
      </c>
      <c r="I9" s="270"/>
      <c r="J9" s="271"/>
      <c r="K9" s="270"/>
      <c r="L9" s="244" t="s">
        <v>146</v>
      </c>
      <c r="M9" s="270"/>
      <c r="N9" s="244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269"/>
      <c r="AA9" s="269"/>
      <c r="AB9" s="269"/>
      <c r="AC9" s="269"/>
      <c r="AD9" s="242"/>
      <c r="AE9" s="11"/>
      <c r="AF9" s="11"/>
      <c r="AH9" s="6"/>
      <c r="AI9" s="6"/>
      <c r="AJ9" s="7"/>
    </row>
    <row r="10" spans="1:38" s="5" customFormat="1" ht="6.95" customHeight="1">
      <c r="A10" s="245"/>
      <c r="B10" s="245"/>
      <c r="C10" s="245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242"/>
      <c r="AB10" s="242"/>
      <c r="AC10" s="242"/>
      <c r="AD10" s="242"/>
      <c r="AE10" s="11"/>
      <c r="AF10" s="11"/>
      <c r="AH10" s="6"/>
      <c r="AI10" s="6"/>
      <c r="AJ10" s="7"/>
    </row>
    <row r="11" spans="1:38" s="5" customFormat="1" ht="23.1" customHeight="1">
      <c r="A11" s="243" t="s">
        <v>13</v>
      </c>
      <c r="B11" s="243"/>
      <c r="C11" s="243"/>
      <c r="D11" s="243"/>
      <c r="E11" s="243"/>
      <c r="F11" s="319"/>
      <c r="G11" s="319"/>
      <c r="H11" s="319"/>
      <c r="I11" s="319"/>
      <c r="J11" s="319"/>
      <c r="K11" s="319"/>
      <c r="L11" s="319"/>
      <c r="M11" s="269" t="s">
        <v>14</v>
      </c>
      <c r="N11" s="275"/>
      <c r="O11" s="242"/>
      <c r="P11" s="322"/>
      <c r="Q11" s="322"/>
      <c r="R11" s="322"/>
      <c r="S11" s="322"/>
      <c r="T11" s="322"/>
      <c r="U11" s="322"/>
      <c r="V11" s="10"/>
      <c r="W11" s="10"/>
      <c r="X11" s="10"/>
      <c r="Y11" s="10"/>
      <c r="Z11" s="10"/>
      <c r="AA11" s="10"/>
      <c r="AB11" s="242"/>
      <c r="AC11" s="242"/>
      <c r="AD11" s="242"/>
      <c r="AE11" s="15"/>
      <c r="AF11" s="15"/>
      <c r="AH11" s="6"/>
      <c r="AI11" s="6"/>
      <c r="AJ11" s="7"/>
    </row>
    <row r="12" spans="1:38" s="5" customFormat="1" ht="6" customHeight="1">
      <c r="A12" s="15"/>
      <c r="B12" s="15"/>
      <c r="C12" s="15"/>
      <c r="D12" s="15"/>
      <c r="E12" s="15"/>
      <c r="F12" s="14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2"/>
      <c r="S12" s="12"/>
      <c r="T12" s="12"/>
      <c r="U12" s="16"/>
      <c r="V12" s="16"/>
      <c r="W12" s="16"/>
      <c r="X12" s="16"/>
      <c r="Y12" s="16"/>
      <c r="AD12" s="17"/>
    </row>
    <row r="13" spans="1:38" ht="24">
      <c r="A13" s="265" t="s">
        <v>15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AG13" s="6"/>
      <c r="AI13" s="20"/>
      <c r="AJ13" s="20"/>
      <c r="AK13" s="20"/>
      <c r="AL13" s="20"/>
    </row>
    <row r="14" spans="1:38" ht="12" customHeigh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S14" s="6"/>
      <c r="AG14" s="6"/>
      <c r="AI14" s="6"/>
      <c r="AJ14" s="6"/>
      <c r="AK14" s="6"/>
      <c r="AL14" s="6"/>
    </row>
    <row r="15" spans="1:38" s="21" customFormat="1" ht="21" customHeight="1">
      <c r="A15" s="345" t="s">
        <v>16</v>
      </c>
      <c r="B15" s="345"/>
      <c r="C15" s="345"/>
      <c r="D15" s="345"/>
      <c r="E15" s="345"/>
      <c r="F15" s="22" t="s">
        <v>17</v>
      </c>
      <c r="G15" s="346">
        <v>10</v>
      </c>
      <c r="H15" s="346"/>
      <c r="I15" s="21" t="s">
        <v>18</v>
      </c>
      <c r="J15" s="22" t="s">
        <v>19</v>
      </c>
      <c r="K15" s="346">
        <v>0.8</v>
      </c>
      <c r="L15" s="346"/>
      <c r="N15" s="347" t="s">
        <v>20</v>
      </c>
      <c r="O15" s="347"/>
      <c r="R15" s="348" t="s">
        <v>21</v>
      </c>
      <c r="S15" s="348"/>
      <c r="T15" s="348"/>
      <c r="U15" s="348"/>
      <c r="V15" s="348"/>
      <c r="W15" s="23"/>
      <c r="X15" s="349">
        <f>(G15-(3*X17))+(0.866025*K15)</f>
        <v>9.3071793539448979</v>
      </c>
      <c r="Y15" s="349"/>
      <c r="Z15" s="349"/>
      <c r="AA15" s="363" t="s">
        <v>22</v>
      </c>
      <c r="AB15" s="363"/>
      <c r="AC15" s="24"/>
      <c r="AG15" s="25"/>
      <c r="AI15" s="26"/>
      <c r="AK15" s="26"/>
    </row>
    <row r="16" spans="1:38" s="21" customFormat="1" ht="21" customHeight="1">
      <c r="A16" s="360" t="s">
        <v>23</v>
      </c>
      <c r="B16" s="360"/>
      <c r="C16" s="360"/>
      <c r="D16" s="360"/>
      <c r="E16" s="360"/>
      <c r="G16" s="361">
        <v>60</v>
      </c>
      <c r="H16" s="361"/>
      <c r="I16" s="27"/>
      <c r="R16" s="357" t="s">
        <v>24</v>
      </c>
      <c r="S16" s="357"/>
      <c r="T16" s="357"/>
      <c r="U16" s="357"/>
      <c r="V16" s="357"/>
      <c r="X16" s="383">
        <v>1.35</v>
      </c>
      <c r="Y16" s="383"/>
      <c r="Z16" s="383"/>
      <c r="AA16" s="363" t="s">
        <v>22</v>
      </c>
      <c r="AB16" s="363"/>
      <c r="AG16" s="25"/>
      <c r="AI16" s="28"/>
      <c r="AK16" s="384" t="s">
        <v>25</v>
      </c>
      <c r="AL16" s="385"/>
    </row>
    <row r="17" spans="1:38" s="21" customFormat="1" ht="21" customHeight="1">
      <c r="B17" s="29" t="s">
        <v>26</v>
      </c>
      <c r="C17" s="30"/>
      <c r="D17" s="361">
        <v>16</v>
      </c>
      <c r="E17" s="361"/>
      <c r="F17" s="30"/>
      <c r="G17" s="386"/>
      <c r="H17" s="386"/>
      <c r="I17" s="27"/>
      <c r="J17" s="31"/>
      <c r="K17" s="31"/>
      <c r="L17" s="31"/>
      <c r="M17" s="31"/>
      <c r="N17" s="31"/>
      <c r="O17" s="32"/>
      <c r="P17" s="32"/>
      <c r="Q17" s="32"/>
      <c r="R17" s="387" t="s">
        <v>27</v>
      </c>
      <c r="S17" s="387"/>
      <c r="T17" s="387"/>
      <c r="U17" s="387"/>
      <c r="V17" s="387"/>
      <c r="X17" s="388">
        <f>1/(COS(('Data Record (pitch)'!G16/2)*PI()/180))*(K15/2)</f>
        <v>0.4618802153517006</v>
      </c>
      <c r="Y17" s="388"/>
      <c r="Z17" s="388"/>
      <c r="AA17" s="363" t="s">
        <v>22</v>
      </c>
      <c r="AB17" s="363"/>
      <c r="AC17" s="24"/>
      <c r="AG17" s="25"/>
      <c r="AI17" s="28"/>
      <c r="AK17" s="33">
        <v>0.2</v>
      </c>
      <c r="AL17" s="34">
        <v>1.1000000000000001</v>
      </c>
    </row>
    <row r="18" spans="1:38" s="21" customFormat="1" ht="21" customHeight="1">
      <c r="C18" s="30"/>
      <c r="D18" s="30"/>
      <c r="E18" s="30"/>
      <c r="F18" s="30"/>
      <c r="G18" s="27"/>
      <c r="H18" s="27"/>
      <c r="I18" s="27"/>
      <c r="J18" s="31"/>
      <c r="K18" s="31"/>
      <c r="L18" s="31"/>
      <c r="M18" s="31"/>
      <c r="N18" s="31"/>
      <c r="O18" s="32"/>
      <c r="P18" s="32"/>
      <c r="Q18" s="32"/>
      <c r="R18" s="35" t="s">
        <v>28</v>
      </c>
      <c r="X18" s="36"/>
      <c r="AG18" s="25"/>
      <c r="AI18" s="28"/>
      <c r="AK18" s="33">
        <v>0.25</v>
      </c>
      <c r="AL18" s="34">
        <v>1.35</v>
      </c>
    </row>
    <row r="19" spans="1:38" ht="21" customHeight="1">
      <c r="A19" s="3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AG19" s="6"/>
      <c r="AI19" s="38"/>
      <c r="AK19" s="33">
        <v>0.28000000000000003</v>
      </c>
      <c r="AL19" s="34">
        <v>1.65</v>
      </c>
    </row>
    <row r="20" spans="1:38" ht="21.75">
      <c r="A20" s="341" t="s">
        <v>29</v>
      </c>
      <c r="B20" s="358"/>
      <c r="C20" s="341" t="s">
        <v>30</v>
      </c>
      <c r="D20" s="342"/>
      <c r="E20" s="364" t="s">
        <v>178</v>
      </c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 t="s">
        <v>34</v>
      </c>
      <c r="R20" s="364"/>
      <c r="S20" s="364"/>
      <c r="T20" s="365" t="s">
        <v>170</v>
      </c>
      <c r="U20" s="365"/>
      <c r="V20" s="366"/>
      <c r="W20" s="350" t="s">
        <v>31</v>
      </c>
      <c r="X20" s="351"/>
      <c r="Y20" s="352"/>
      <c r="Z20" s="356" t="s">
        <v>32</v>
      </c>
      <c r="AA20" s="351"/>
      <c r="AB20" s="351"/>
      <c r="AC20" s="351"/>
      <c r="AD20" s="352"/>
      <c r="AH20" s="362"/>
      <c r="AI20" s="362"/>
      <c r="AJ20" s="6"/>
      <c r="AK20" s="33">
        <v>0.45500000000000002</v>
      </c>
      <c r="AL20" s="34">
        <v>2.0499999999999998</v>
      </c>
    </row>
    <row r="21" spans="1:38" ht="21.75">
      <c r="A21" s="343"/>
      <c r="B21" s="359"/>
      <c r="C21" s="343"/>
      <c r="D21" s="344"/>
      <c r="E21" s="327" t="s">
        <v>174</v>
      </c>
      <c r="F21" s="328"/>
      <c r="G21" s="329"/>
      <c r="H21" s="327" t="s">
        <v>175</v>
      </c>
      <c r="I21" s="328"/>
      <c r="J21" s="329"/>
      <c r="K21" s="327" t="s">
        <v>176</v>
      </c>
      <c r="L21" s="328"/>
      <c r="M21" s="329"/>
      <c r="N21" s="327" t="s">
        <v>177</v>
      </c>
      <c r="O21" s="328"/>
      <c r="P21" s="329"/>
      <c r="Q21" s="364"/>
      <c r="R21" s="364"/>
      <c r="S21" s="364"/>
      <c r="T21" s="367"/>
      <c r="U21" s="367"/>
      <c r="V21" s="368"/>
      <c r="W21" s="353"/>
      <c r="X21" s="354"/>
      <c r="Y21" s="355"/>
      <c r="Z21" s="353"/>
      <c r="AA21" s="354"/>
      <c r="AB21" s="354"/>
      <c r="AC21" s="354"/>
      <c r="AD21" s="355"/>
      <c r="AH21" s="362"/>
      <c r="AI21" s="362"/>
      <c r="AJ21" s="6"/>
      <c r="AK21" s="34">
        <v>0.53</v>
      </c>
      <c r="AL21" s="34">
        <v>2.5499999999999998</v>
      </c>
    </row>
    <row r="22" spans="1:38" ht="21.75" customHeight="1">
      <c r="A22" s="332" t="s">
        <v>35</v>
      </c>
      <c r="B22" s="333"/>
      <c r="C22" s="338" t="s">
        <v>171</v>
      </c>
      <c r="D22" s="339"/>
      <c r="E22" s="315">
        <v>10</v>
      </c>
      <c r="F22" s="316"/>
      <c r="G22" s="317"/>
      <c r="H22" s="315">
        <v>10</v>
      </c>
      <c r="I22" s="316"/>
      <c r="J22" s="317"/>
      <c r="K22" s="315">
        <v>10</v>
      </c>
      <c r="L22" s="316"/>
      <c r="M22" s="317"/>
      <c r="N22" s="315">
        <v>10</v>
      </c>
      <c r="O22" s="316"/>
      <c r="P22" s="317"/>
      <c r="Q22" s="338">
        <f t="shared" ref="Q22:Q27" si="0">AVERAGE(E22:P22)</f>
        <v>10</v>
      </c>
      <c r="R22" s="339"/>
      <c r="S22" s="369"/>
      <c r="T22" s="338">
        <f>STDEV(E22:P27)/SQRT(4)</f>
        <v>0.87227837598864699</v>
      </c>
      <c r="U22" s="339"/>
      <c r="V22" s="369"/>
      <c r="W22" s="338">
        <f>(Q22-(3*X17)+(0.866025*K15))</f>
        <v>9.3071793539448979</v>
      </c>
      <c r="X22" s="339"/>
      <c r="Y22" s="369"/>
      <c r="Z22" s="376">
        <f>W22-X15</f>
        <v>0</v>
      </c>
      <c r="AA22" s="351"/>
      <c r="AB22" s="351"/>
      <c r="AC22" s="351"/>
      <c r="AD22" s="352"/>
      <c r="AH22" s="389"/>
      <c r="AI22" s="389"/>
      <c r="AJ22" s="41"/>
      <c r="AK22" s="39">
        <v>0.62</v>
      </c>
      <c r="AL22" s="34">
        <v>3.2</v>
      </c>
    </row>
    <row r="23" spans="1:38" ht="21.75" customHeight="1">
      <c r="A23" s="334"/>
      <c r="B23" s="335"/>
      <c r="C23" s="340" t="s">
        <v>172</v>
      </c>
      <c r="D23" s="340"/>
      <c r="E23" s="315">
        <v>11</v>
      </c>
      <c r="F23" s="316"/>
      <c r="G23" s="317"/>
      <c r="H23" s="315">
        <v>11</v>
      </c>
      <c r="I23" s="316"/>
      <c r="J23" s="317"/>
      <c r="K23" s="315">
        <v>11</v>
      </c>
      <c r="L23" s="316"/>
      <c r="M23" s="317"/>
      <c r="N23" s="315">
        <v>11</v>
      </c>
      <c r="O23" s="316"/>
      <c r="P23" s="317"/>
      <c r="Q23" s="340">
        <f t="shared" si="0"/>
        <v>11</v>
      </c>
      <c r="R23" s="340"/>
      <c r="S23" s="340"/>
      <c r="T23" s="370"/>
      <c r="U23" s="371"/>
      <c r="V23" s="372"/>
      <c r="W23" s="340">
        <f>(Q23-(3*X17)+(0.866025*K15))</f>
        <v>10.307179353944898</v>
      </c>
      <c r="X23" s="340"/>
      <c r="Y23" s="340"/>
      <c r="Z23" s="377">
        <f>W23-X15</f>
        <v>1</v>
      </c>
      <c r="AA23" s="378"/>
      <c r="AB23" s="378"/>
      <c r="AC23" s="378"/>
      <c r="AD23" s="378"/>
      <c r="AH23" s="389"/>
      <c r="AI23" s="389"/>
      <c r="AJ23" s="41"/>
      <c r="AK23" s="39">
        <v>0.72499999999999998</v>
      </c>
      <c r="AL23" s="33">
        <v>4</v>
      </c>
    </row>
    <row r="24" spans="1:38" ht="21.75" customHeight="1">
      <c r="A24" s="336"/>
      <c r="B24" s="337"/>
      <c r="C24" s="340" t="s">
        <v>173</v>
      </c>
      <c r="D24" s="340"/>
      <c r="E24" s="315">
        <v>12</v>
      </c>
      <c r="F24" s="316"/>
      <c r="G24" s="317"/>
      <c r="H24" s="315">
        <v>12</v>
      </c>
      <c r="I24" s="316"/>
      <c r="J24" s="317"/>
      <c r="K24" s="315">
        <v>12</v>
      </c>
      <c r="L24" s="316"/>
      <c r="M24" s="317"/>
      <c r="N24" s="315">
        <v>12</v>
      </c>
      <c r="O24" s="316"/>
      <c r="P24" s="317"/>
      <c r="Q24" s="380">
        <f t="shared" si="0"/>
        <v>12</v>
      </c>
      <c r="R24" s="381"/>
      <c r="S24" s="382"/>
      <c r="T24" s="370"/>
      <c r="U24" s="371"/>
      <c r="V24" s="372"/>
      <c r="W24" s="380">
        <f>(Q24-(3*X17)+(0.866025*K15))</f>
        <v>11.307179353944898</v>
      </c>
      <c r="X24" s="381"/>
      <c r="Y24" s="382"/>
      <c r="Z24" s="379">
        <f>W24-X15</f>
        <v>2</v>
      </c>
      <c r="AA24" s="354"/>
      <c r="AB24" s="354"/>
      <c r="AC24" s="354"/>
      <c r="AD24" s="355"/>
      <c r="AH24" s="389"/>
      <c r="AI24" s="389"/>
      <c r="AJ24" s="41"/>
      <c r="AK24" s="34">
        <v>0.89500000000000002</v>
      </c>
      <c r="AL24" s="40"/>
    </row>
    <row r="25" spans="1:38" ht="21.75">
      <c r="A25" s="332" t="s">
        <v>36</v>
      </c>
      <c r="B25" s="333"/>
      <c r="C25" s="340" t="s">
        <v>171</v>
      </c>
      <c r="D25" s="340"/>
      <c r="E25" s="315">
        <v>13</v>
      </c>
      <c r="F25" s="316"/>
      <c r="G25" s="317"/>
      <c r="H25" s="315">
        <v>13</v>
      </c>
      <c r="I25" s="316"/>
      <c r="J25" s="317"/>
      <c r="K25" s="315">
        <v>13</v>
      </c>
      <c r="L25" s="316"/>
      <c r="M25" s="317"/>
      <c r="N25" s="315">
        <v>13</v>
      </c>
      <c r="O25" s="316"/>
      <c r="P25" s="317"/>
      <c r="Q25" s="338">
        <f t="shared" si="0"/>
        <v>13</v>
      </c>
      <c r="R25" s="339"/>
      <c r="S25" s="369"/>
      <c r="T25" s="370"/>
      <c r="U25" s="371"/>
      <c r="V25" s="372"/>
      <c r="W25" s="338">
        <f>(Q25-(3*X17)+(0.866025*K15))</f>
        <v>12.307179353944898</v>
      </c>
      <c r="X25" s="339"/>
      <c r="Y25" s="369"/>
      <c r="Z25" s="376">
        <f>W25-X15</f>
        <v>3</v>
      </c>
      <c r="AA25" s="351"/>
      <c r="AB25" s="351"/>
      <c r="AC25" s="351"/>
      <c r="AD25" s="352"/>
      <c r="AH25" s="389"/>
      <c r="AI25" s="389"/>
      <c r="AJ25" s="41"/>
      <c r="AK25" s="41"/>
    </row>
    <row r="26" spans="1:38" ht="21.75">
      <c r="A26" s="334"/>
      <c r="B26" s="335"/>
      <c r="C26" s="340" t="s">
        <v>172</v>
      </c>
      <c r="D26" s="340"/>
      <c r="E26" s="315">
        <v>14</v>
      </c>
      <c r="F26" s="316"/>
      <c r="G26" s="317"/>
      <c r="H26" s="315">
        <v>14</v>
      </c>
      <c r="I26" s="316"/>
      <c r="J26" s="317"/>
      <c r="K26" s="315">
        <v>14</v>
      </c>
      <c r="L26" s="316"/>
      <c r="M26" s="317"/>
      <c r="N26" s="315">
        <v>14</v>
      </c>
      <c r="O26" s="316"/>
      <c r="P26" s="317"/>
      <c r="Q26" s="340">
        <f t="shared" si="0"/>
        <v>14</v>
      </c>
      <c r="R26" s="340"/>
      <c r="S26" s="340"/>
      <c r="T26" s="370"/>
      <c r="U26" s="371"/>
      <c r="V26" s="372"/>
      <c r="W26" s="340">
        <f>(Q26-(3*X17)+(0.866025*K15))</f>
        <v>13.307179353944898</v>
      </c>
      <c r="X26" s="340"/>
      <c r="Y26" s="340"/>
      <c r="Z26" s="377">
        <f>W26-X15</f>
        <v>4</v>
      </c>
      <c r="AA26" s="378"/>
      <c r="AB26" s="378"/>
      <c r="AC26" s="378"/>
      <c r="AD26" s="378"/>
      <c r="AH26" s="389"/>
      <c r="AI26" s="389"/>
      <c r="AJ26" s="41"/>
      <c r="AK26" s="41"/>
    </row>
    <row r="27" spans="1:38" ht="21.75">
      <c r="A27" s="336"/>
      <c r="B27" s="337"/>
      <c r="C27" s="340" t="s">
        <v>173</v>
      </c>
      <c r="D27" s="340"/>
      <c r="E27" s="315">
        <v>15</v>
      </c>
      <c r="F27" s="316"/>
      <c r="G27" s="317"/>
      <c r="H27" s="315">
        <v>15</v>
      </c>
      <c r="I27" s="316"/>
      <c r="J27" s="317"/>
      <c r="K27" s="315">
        <v>15</v>
      </c>
      <c r="L27" s="316"/>
      <c r="M27" s="317"/>
      <c r="N27" s="315">
        <v>15</v>
      </c>
      <c r="O27" s="316"/>
      <c r="P27" s="317"/>
      <c r="Q27" s="380">
        <f t="shared" si="0"/>
        <v>15</v>
      </c>
      <c r="R27" s="381"/>
      <c r="S27" s="382"/>
      <c r="T27" s="373"/>
      <c r="U27" s="374"/>
      <c r="V27" s="375"/>
      <c r="W27" s="380">
        <f>(Q27-(3*X17)+(0.866025*K15))</f>
        <v>14.307179353944898</v>
      </c>
      <c r="X27" s="381"/>
      <c r="Y27" s="382"/>
      <c r="Z27" s="379">
        <f>W27-X15</f>
        <v>5</v>
      </c>
      <c r="AA27" s="354"/>
      <c r="AB27" s="354"/>
      <c r="AC27" s="354"/>
      <c r="AD27" s="355"/>
      <c r="AH27" s="389"/>
      <c r="AI27" s="389"/>
      <c r="AJ27" s="41"/>
      <c r="AK27" s="41"/>
    </row>
    <row r="28" spans="1:38" ht="21.75">
      <c r="A28" s="333"/>
      <c r="B28" s="333"/>
      <c r="C28" s="333"/>
      <c r="D28" s="42"/>
      <c r="E28" s="390"/>
      <c r="F28" s="390"/>
      <c r="G28" s="390"/>
      <c r="H28" s="390"/>
      <c r="I28" s="390"/>
      <c r="J28" s="390"/>
      <c r="K28" s="390"/>
      <c r="L28" s="390"/>
      <c r="M28" s="390"/>
      <c r="N28" s="390"/>
      <c r="O28" s="390"/>
      <c r="P28" s="390"/>
      <c r="Q28" s="390"/>
      <c r="R28" s="390"/>
      <c r="S28" s="390"/>
      <c r="T28" s="390"/>
      <c r="U28" s="390"/>
      <c r="V28" s="390"/>
      <c r="W28" s="390"/>
      <c r="X28" s="390"/>
      <c r="Y28" s="390"/>
      <c r="Z28" s="41"/>
      <c r="AA28" s="41"/>
      <c r="AB28" s="41"/>
      <c r="AC28" s="6"/>
      <c r="AD28" s="6"/>
      <c r="AG28" s="41"/>
      <c r="AI28" s="41"/>
    </row>
    <row r="29" spans="1:38" s="21" customFormat="1" ht="21" customHeight="1">
      <c r="A29" s="345" t="s">
        <v>16</v>
      </c>
      <c r="B29" s="345"/>
      <c r="C29" s="345"/>
      <c r="D29" s="345"/>
      <c r="E29" s="345"/>
      <c r="F29" s="22" t="s">
        <v>17</v>
      </c>
      <c r="G29" s="346">
        <v>20</v>
      </c>
      <c r="H29" s="346"/>
      <c r="I29" s="21" t="s">
        <v>18</v>
      </c>
      <c r="J29" s="22" t="s">
        <v>19</v>
      </c>
      <c r="K29" s="346">
        <v>2.5</v>
      </c>
      <c r="L29" s="346"/>
      <c r="N29" s="347" t="s">
        <v>20</v>
      </c>
      <c r="O29" s="347"/>
      <c r="R29" s="348" t="s">
        <v>21</v>
      </c>
      <c r="S29" s="348"/>
      <c r="T29" s="348"/>
      <c r="U29" s="348"/>
      <c r="V29" s="348"/>
      <c r="W29" s="23"/>
      <c r="X29" s="349">
        <f>G29-(3*X31)+(0.866025*K29)</f>
        <v>17.834935481077807</v>
      </c>
      <c r="Y29" s="349"/>
      <c r="Z29" s="349"/>
      <c r="AA29" s="363" t="s">
        <v>22</v>
      </c>
      <c r="AB29" s="363"/>
      <c r="AC29" s="24"/>
      <c r="AG29" s="41"/>
      <c r="AI29" s="26"/>
      <c r="AK29" s="26"/>
    </row>
    <row r="30" spans="1:38" s="21" customFormat="1" ht="21" customHeight="1">
      <c r="A30" s="360" t="s">
        <v>23</v>
      </c>
      <c r="B30" s="360"/>
      <c r="C30" s="360"/>
      <c r="D30" s="360"/>
      <c r="E30" s="360"/>
      <c r="G30" s="361">
        <v>60</v>
      </c>
      <c r="H30" s="361"/>
      <c r="I30" s="27"/>
      <c r="R30" s="357" t="s">
        <v>24</v>
      </c>
      <c r="S30" s="357"/>
      <c r="T30" s="357"/>
      <c r="U30" s="357"/>
      <c r="V30" s="357"/>
      <c r="X30" s="383">
        <v>1.65</v>
      </c>
      <c r="Y30" s="383"/>
      <c r="Z30" s="383"/>
      <c r="AA30" s="363" t="s">
        <v>22</v>
      </c>
      <c r="AB30" s="363"/>
      <c r="AG30" s="41"/>
      <c r="AH30" s="28"/>
      <c r="AI30" s="28"/>
      <c r="AK30" s="28"/>
    </row>
    <row r="31" spans="1:38" s="21" customFormat="1" ht="21" customHeight="1">
      <c r="B31" s="30"/>
      <c r="C31" s="30"/>
      <c r="D31" s="30"/>
      <c r="E31" s="30"/>
      <c r="F31" s="30"/>
      <c r="G31" s="386"/>
      <c r="H31" s="386"/>
      <c r="I31" s="27"/>
      <c r="J31" s="31"/>
      <c r="K31" s="31"/>
      <c r="L31" s="31"/>
      <c r="M31" s="31"/>
      <c r="N31" s="31"/>
      <c r="O31" s="32"/>
      <c r="P31" s="32"/>
      <c r="Q31" s="32"/>
      <c r="R31" s="387" t="s">
        <v>27</v>
      </c>
      <c r="S31" s="387"/>
      <c r="T31" s="387"/>
      <c r="U31" s="387"/>
      <c r="V31" s="387"/>
      <c r="X31" s="388">
        <f>1/(COS(('Data Record (pitch)'!G30/2)*PI()/180))*(K29/2)</f>
        <v>1.4433756729740643</v>
      </c>
      <c r="Y31" s="388"/>
      <c r="Z31" s="388"/>
      <c r="AA31" s="363" t="s">
        <v>22</v>
      </c>
      <c r="AB31" s="363"/>
      <c r="AC31" s="24"/>
      <c r="AH31" s="28"/>
      <c r="AI31" s="28"/>
      <c r="AK31" s="28"/>
    </row>
    <row r="32" spans="1:38" s="21" customFormat="1" ht="21" customHeight="1">
      <c r="C32" s="30"/>
      <c r="D32" s="30"/>
      <c r="E32" s="30"/>
      <c r="F32" s="30"/>
      <c r="G32" s="27"/>
      <c r="H32" s="27"/>
      <c r="I32" s="27"/>
      <c r="J32" s="31"/>
      <c r="K32" s="31"/>
      <c r="L32" s="31"/>
      <c r="M32" s="31"/>
      <c r="N32" s="31"/>
      <c r="O32" s="32"/>
      <c r="P32" s="32"/>
      <c r="Q32" s="32"/>
      <c r="R32" s="35" t="s">
        <v>28</v>
      </c>
      <c r="X32" s="36"/>
      <c r="AH32" s="28"/>
      <c r="AI32" s="28"/>
      <c r="AJ32" s="28"/>
      <c r="AK32" s="28"/>
      <c r="AL32" s="28"/>
    </row>
    <row r="33" spans="1:38" ht="21" customHeight="1">
      <c r="A33" s="37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AH33" s="43"/>
      <c r="AI33"/>
      <c r="AJ33"/>
      <c r="AK33"/>
      <c r="AL33"/>
    </row>
    <row r="34" spans="1:38" ht="21.75" customHeight="1">
      <c r="A34" s="341" t="s">
        <v>29</v>
      </c>
      <c r="B34" s="358"/>
      <c r="C34" s="341" t="s">
        <v>30</v>
      </c>
      <c r="D34" s="342"/>
      <c r="E34" s="364" t="s">
        <v>178</v>
      </c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 t="s">
        <v>34</v>
      </c>
      <c r="R34" s="364"/>
      <c r="S34" s="364"/>
      <c r="T34" s="365" t="s">
        <v>170</v>
      </c>
      <c r="U34" s="365"/>
      <c r="V34" s="366"/>
      <c r="W34" s="350" t="s">
        <v>31</v>
      </c>
      <c r="X34" s="351"/>
      <c r="Y34" s="352"/>
      <c r="Z34" s="356" t="s">
        <v>32</v>
      </c>
      <c r="AA34" s="351"/>
      <c r="AB34" s="351"/>
      <c r="AC34" s="351"/>
      <c r="AD34" s="352"/>
      <c r="AG34" s="44"/>
      <c r="AH34" s="6"/>
      <c r="AI34" s="6"/>
    </row>
    <row r="35" spans="1:38">
      <c r="A35" s="343"/>
      <c r="B35" s="359"/>
      <c r="C35" s="343"/>
      <c r="D35" s="344"/>
      <c r="E35" s="327" t="s">
        <v>174</v>
      </c>
      <c r="F35" s="328"/>
      <c r="G35" s="329"/>
      <c r="H35" s="327" t="s">
        <v>175</v>
      </c>
      <c r="I35" s="328"/>
      <c r="J35" s="329"/>
      <c r="K35" s="327" t="s">
        <v>176</v>
      </c>
      <c r="L35" s="328"/>
      <c r="M35" s="329"/>
      <c r="N35" s="327" t="s">
        <v>177</v>
      </c>
      <c r="O35" s="328"/>
      <c r="P35" s="329"/>
      <c r="Q35" s="364"/>
      <c r="R35" s="364"/>
      <c r="S35" s="364"/>
      <c r="T35" s="367"/>
      <c r="U35" s="367"/>
      <c r="V35" s="368"/>
      <c r="W35" s="353"/>
      <c r="X35" s="354"/>
      <c r="Y35" s="355"/>
      <c r="Z35" s="353"/>
      <c r="AA35" s="354"/>
      <c r="AB35" s="354"/>
      <c r="AC35" s="354"/>
      <c r="AD35" s="355"/>
      <c r="AG35" s="44"/>
      <c r="AH35" s="6"/>
      <c r="AI35" s="6"/>
    </row>
    <row r="36" spans="1:38" ht="21.75" customHeight="1">
      <c r="A36" s="332" t="s">
        <v>35</v>
      </c>
      <c r="B36" s="333"/>
      <c r="C36" s="338" t="s">
        <v>171</v>
      </c>
      <c r="D36" s="339"/>
      <c r="E36" s="315">
        <v>17.866499999999998</v>
      </c>
      <c r="F36" s="316"/>
      <c r="G36" s="317"/>
      <c r="H36" s="315">
        <v>17.866499999999998</v>
      </c>
      <c r="I36" s="316"/>
      <c r="J36" s="317"/>
      <c r="K36" s="315">
        <v>17.866499999999998</v>
      </c>
      <c r="L36" s="316"/>
      <c r="M36" s="317"/>
      <c r="N36" s="315">
        <v>17.866499999999998</v>
      </c>
      <c r="O36" s="316"/>
      <c r="P36" s="317"/>
      <c r="Q36" s="340">
        <f t="shared" ref="Q36:Q41" si="1">AVERAGE(E36:P36)</f>
        <v>17.866499999999998</v>
      </c>
      <c r="R36" s="340"/>
      <c r="S36" s="340"/>
      <c r="T36" s="340">
        <f>STDEV(E36:P41)/SQRT(4)</f>
        <v>3.6291248651938389E-15</v>
      </c>
      <c r="U36" s="340"/>
      <c r="V36" s="340"/>
      <c r="W36" s="340">
        <f>(Q36-(3*X31)+(0.866025*K29))</f>
        <v>15.701435481077805</v>
      </c>
      <c r="X36" s="340"/>
      <c r="Y36" s="340"/>
      <c r="Z36" s="376">
        <f>W36-X29</f>
        <v>-2.1335000000000015</v>
      </c>
      <c r="AA36" s="351"/>
      <c r="AB36" s="351"/>
      <c r="AC36" s="351"/>
      <c r="AD36" s="352"/>
      <c r="AG36" s="41"/>
      <c r="AH36" s="41"/>
      <c r="AI36" s="41"/>
    </row>
    <row r="37" spans="1:38" ht="21.75" customHeight="1">
      <c r="A37" s="334"/>
      <c r="B37" s="335"/>
      <c r="C37" s="340" t="s">
        <v>172</v>
      </c>
      <c r="D37" s="340"/>
      <c r="E37" s="315">
        <v>17.866499999999998</v>
      </c>
      <c r="F37" s="316"/>
      <c r="G37" s="317"/>
      <c r="H37" s="315">
        <v>17.866499999999998</v>
      </c>
      <c r="I37" s="316"/>
      <c r="J37" s="317"/>
      <c r="K37" s="315">
        <v>17.866499999999998</v>
      </c>
      <c r="L37" s="316"/>
      <c r="M37" s="317"/>
      <c r="N37" s="315">
        <v>17.866499999999998</v>
      </c>
      <c r="O37" s="316"/>
      <c r="P37" s="317"/>
      <c r="Q37" s="340">
        <f t="shared" si="1"/>
        <v>17.866499999999998</v>
      </c>
      <c r="R37" s="340"/>
      <c r="S37" s="340"/>
      <c r="T37" s="340"/>
      <c r="U37" s="340"/>
      <c r="V37" s="340"/>
      <c r="W37" s="340">
        <f>(Q37-(3*X31)+(0.866025*K29))</f>
        <v>15.701435481077805</v>
      </c>
      <c r="X37" s="340"/>
      <c r="Y37" s="340"/>
      <c r="Z37" s="377">
        <f>W37-X29</f>
        <v>-2.1335000000000015</v>
      </c>
      <c r="AA37" s="378"/>
      <c r="AB37" s="378"/>
      <c r="AC37" s="378"/>
      <c r="AD37" s="378"/>
      <c r="AG37" s="41"/>
      <c r="AH37" s="41"/>
      <c r="AI37" s="41"/>
    </row>
    <row r="38" spans="1:38" ht="21.75" customHeight="1">
      <c r="A38" s="336"/>
      <c r="B38" s="337"/>
      <c r="C38" s="340" t="s">
        <v>173</v>
      </c>
      <c r="D38" s="340"/>
      <c r="E38" s="315">
        <v>17.866499999999998</v>
      </c>
      <c r="F38" s="316"/>
      <c r="G38" s="317"/>
      <c r="H38" s="315">
        <v>17.866499999999998</v>
      </c>
      <c r="I38" s="316"/>
      <c r="J38" s="317"/>
      <c r="K38" s="315">
        <v>17.866499999999998</v>
      </c>
      <c r="L38" s="316"/>
      <c r="M38" s="317"/>
      <c r="N38" s="315">
        <v>17.866499999999998</v>
      </c>
      <c r="O38" s="316"/>
      <c r="P38" s="317"/>
      <c r="Q38" s="340">
        <f t="shared" si="1"/>
        <v>17.866499999999998</v>
      </c>
      <c r="R38" s="340"/>
      <c r="S38" s="340"/>
      <c r="T38" s="340"/>
      <c r="U38" s="340"/>
      <c r="V38" s="340"/>
      <c r="W38" s="340">
        <f>(Q38-(3*X31)+(0.866025*K29))</f>
        <v>15.701435481077805</v>
      </c>
      <c r="X38" s="340"/>
      <c r="Y38" s="340"/>
      <c r="Z38" s="379">
        <f>W38-X29</f>
        <v>-2.1335000000000015</v>
      </c>
      <c r="AA38" s="354"/>
      <c r="AB38" s="354"/>
      <c r="AC38" s="354"/>
      <c r="AD38" s="355"/>
      <c r="AG38" s="41"/>
      <c r="AH38" s="41"/>
      <c r="AI38" s="41"/>
    </row>
    <row r="39" spans="1:38" ht="21.75">
      <c r="A39" s="332" t="s">
        <v>36</v>
      </c>
      <c r="B39" s="333"/>
      <c r="C39" s="340" t="s">
        <v>171</v>
      </c>
      <c r="D39" s="340"/>
      <c r="E39" s="315">
        <v>17.866499999999998</v>
      </c>
      <c r="F39" s="316"/>
      <c r="G39" s="317"/>
      <c r="H39" s="315">
        <v>17.866499999999998</v>
      </c>
      <c r="I39" s="316"/>
      <c r="J39" s="317"/>
      <c r="K39" s="315">
        <v>17.866499999999998</v>
      </c>
      <c r="L39" s="316"/>
      <c r="M39" s="317"/>
      <c r="N39" s="315">
        <v>17.866499999999998</v>
      </c>
      <c r="O39" s="316"/>
      <c r="P39" s="317"/>
      <c r="Q39" s="340">
        <f t="shared" si="1"/>
        <v>17.866499999999998</v>
      </c>
      <c r="R39" s="340"/>
      <c r="S39" s="340"/>
      <c r="T39" s="340"/>
      <c r="U39" s="340"/>
      <c r="V39" s="340"/>
      <c r="W39" s="340">
        <f>(Q39-(3*X31)+(0.866025*K29))</f>
        <v>15.701435481077805</v>
      </c>
      <c r="X39" s="340"/>
      <c r="Y39" s="340"/>
      <c r="Z39" s="376">
        <f>W39-X29</f>
        <v>-2.1335000000000015</v>
      </c>
      <c r="AA39" s="351"/>
      <c r="AB39" s="351"/>
      <c r="AC39" s="351"/>
      <c r="AD39" s="352"/>
      <c r="AG39" s="41"/>
      <c r="AH39" s="41"/>
      <c r="AI39" s="41"/>
    </row>
    <row r="40" spans="1:38" ht="21.75">
      <c r="A40" s="334"/>
      <c r="B40" s="335"/>
      <c r="C40" s="340" t="s">
        <v>172</v>
      </c>
      <c r="D40" s="340"/>
      <c r="E40" s="315">
        <v>17.866499999999998</v>
      </c>
      <c r="F40" s="316"/>
      <c r="G40" s="317"/>
      <c r="H40" s="315">
        <v>17.866499999999998</v>
      </c>
      <c r="I40" s="316"/>
      <c r="J40" s="317"/>
      <c r="K40" s="315">
        <v>17.866499999999998</v>
      </c>
      <c r="L40" s="316"/>
      <c r="M40" s="317"/>
      <c r="N40" s="315">
        <v>17.866499999999998</v>
      </c>
      <c r="O40" s="316"/>
      <c r="P40" s="317"/>
      <c r="Q40" s="340">
        <f t="shared" si="1"/>
        <v>17.866499999999998</v>
      </c>
      <c r="R40" s="340"/>
      <c r="S40" s="340"/>
      <c r="T40" s="340"/>
      <c r="U40" s="340"/>
      <c r="V40" s="340"/>
      <c r="W40" s="340">
        <f>(Q40-(3*X31)+(0.866025*K29))</f>
        <v>15.701435481077805</v>
      </c>
      <c r="X40" s="340"/>
      <c r="Y40" s="340"/>
      <c r="Z40" s="377">
        <f>W40-X29</f>
        <v>-2.1335000000000015</v>
      </c>
      <c r="AA40" s="378"/>
      <c r="AB40" s="378"/>
      <c r="AC40" s="378"/>
      <c r="AD40" s="378"/>
      <c r="AG40" s="41"/>
      <c r="AH40" s="41"/>
      <c r="AI40" s="41"/>
    </row>
    <row r="41" spans="1:38" ht="21.75">
      <c r="A41" s="336"/>
      <c r="B41" s="337"/>
      <c r="C41" s="340" t="s">
        <v>173</v>
      </c>
      <c r="D41" s="340"/>
      <c r="E41" s="315">
        <v>17.866499999999998</v>
      </c>
      <c r="F41" s="316"/>
      <c r="G41" s="317"/>
      <c r="H41" s="315">
        <v>17.866499999999998</v>
      </c>
      <c r="I41" s="316"/>
      <c r="J41" s="317"/>
      <c r="K41" s="315">
        <v>17.866499999999998</v>
      </c>
      <c r="L41" s="316"/>
      <c r="M41" s="317"/>
      <c r="N41" s="315">
        <v>17.866499999999998</v>
      </c>
      <c r="O41" s="316"/>
      <c r="P41" s="317"/>
      <c r="Q41" s="340">
        <f t="shared" si="1"/>
        <v>17.866499999999998</v>
      </c>
      <c r="R41" s="340"/>
      <c r="S41" s="340"/>
      <c r="T41" s="340"/>
      <c r="U41" s="340"/>
      <c r="V41" s="340"/>
      <c r="W41" s="340">
        <f>(Q41-(3*X31)+(0.866025*K29))</f>
        <v>15.701435481077805</v>
      </c>
      <c r="X41" s="340"/>
      <c r="Y41" s="340"/>
      <c r="Z41" s="379">
        <f>W41-X29</f>
        <v>-2.1335000000000015</v>
      </c>
      <c r="AA41" s="354"/>
      <c r="AB41" s="354"/>
      <c r="AC41" s="354"/>
      <c r="AD41" s="355"/>
      <c r="AG41" s="41"/>
      <c r="AH41" s="41"/>
      <c r="AI41" s="41"/>
    </row>
    <row r="46" spans="1:38" ht="18.75" customHeight="1">
      <c r="A46" s="3" t="s">
        <v>37</v>
      </c>
      <c r="E46" s="3" t="s">
        <v>38</v>
      </c>
      <c r="F46" s="9"/>
      <c r="G46" s="45"/>
      <c r="H46" s="45"/>
      <c r="I46" s="45"/>
      <c r="J46" s="45"/>
      <c r="K46" s="45"/>
      <c r="L46" s="45"/>
      <c r="M46" s="45"/>
    </row>
  </sheetData>
  <mergeCells count="185">
    <mergeCell ref="A36:B38"/>
    <mergeCell ref="C36:D36"/>
    <mergeCell ref="C37:D37"/>
    <mergeCell ref="C38:D38"/>
    <mergeCell ref="A39:B41"/>
    <mergeCell ref="C39:D39"/>
    <mergeCell ref="C40:D40"/>
    <mergeCell ref="C41:D41"/>
    <mergeCell ref="W37:Y37"/>
    <mergeCell ref="E38:G38"/>
    <mergeCell ref="H38:J38"/>
    <mergeCell ref="K38:M38"/>
    <mergeCell ref="N38:P38"/>
    <mergeCell ref="Q38:S38"/>
    <mergeCell ref="W38:Y38"/>
    <mergeCell ref="W41:Y41"/>
    <mergeCell ref="E39:G39"/>
    <mergeCell ref="H39:J39"/>
    <mergeCell ref="K39:M39"/>
    <mergeCell ref="N39:P39"/>
    <mergeCell ref="Q39:S39"/>
    <mergeCell ref="Q40:S40"/>
    <mergeCell ref="W40:Y40"/>
    <mergeCell ref="H36:J36"/>
    <mergeCell ref="Z40:AD40"/>
    <mergeCell ref="E41:G41"/>
    <mergeCell ref="H41:J41"/>
    <mergeCell ref="K41:M41"/>
    <mergeCell ref="N41:P41"/>
    <mergeCell ref="Q41:S41"/>
    <mergeCell ref="T36:V41"/>
    <mergeCell ref="W39:Y39"/>
    <mergeCell ref="Z39:AD39"/>
    <mergeCell ref="E40:G40"/>
    <mergeCell ref="H40:J40"/>
    <mergeCell ref="K40:M40"/>
    <mergeCell ref="N40:P40"/>
    <mergeCell ref="W36:Y36"/>
    <mergeCell ref="Z36:AD36"/>
    <mergeCell ref="Z37:AD37"/>
    <mergeCell ref="Z38:AD38"/>
    <mergeCell ref="Z41:AD41"/>
    <mergeCell ref="E37:G37"/>
    <mergeCell ref="H37:J37"/>
    <mergeCell ref="K37:M37"/>
    <mergeCell ref="N37:P37"/>
    <mergeCell ref="Q37:S37"/>
    <mergeCell ref="E36:G36"/>
    <mergeCell ref="K36:M36"/>
    <mergeCell ref="N36:P36"/>
    <mergeCell ref="Q36:S36"/>
    <mergeCell ref="W34:Y35"/>
    <mergeCell ref="Z34:AD35"/>
    <mergeCell ref="AA29:AB29"/>
    <mergeCell ref="A30:E30"/>
    <mergeCell ref="G30:H30"/>
    <mergeCell ref="R30:V30"/>
    <mergeCell ref="X30:Z30"/>
    <mergeCell ref="AA30:AB30"/>
    <mergeCell ref="Q34:S35"/>
    <mergeCell ref="T34:V35"/>
    <mergeCell ref="A34:B35"/>
    <mergeCell ref="C34:D35"/>
    <mergeCell ref="E34:P34"/>
    <mergeCell ref="E35:G35"/>
    <mergeCell ref="H35:J35"/>
    <mergeCell ref="K35:M35"/>
    <mergeCell ref="N35:P35"/>
    <mergeCell ref="G31:H31"/>
    <mergeCell ref="R31:V31"/>
    <mergeCell ref="X31:Z31"/>
    <mergeCell ref="AA31:AB31"/>
    <mergeCell ref="T28:V28"/>
    <mergeCell ref="W28:Y28"/>
    <mergeCell ref="A29:E29"/>
    <mergeCell ref="G29:H29"/>
    <mergeCell ref="K29:L29"/>
    <mergeCell ref="N29:O29"/>
    <mergeCell ref="R29:V29"/>
    <mergeCell ref="X29:Z29"/>
    <mergeCell ref="A28:C28"/>
    <mergeCell ref="E28:G28"/>
    <mergeCell ref="H28:J28"/>
    <mergeCell ref="K28:M28"/>
    <mergeCell ref="N28:P28"/>
    <mergeCell ref="Q28:S28"/>
    <mergeCell ref="AK16:AL16"/>
    <mergeCell ref="D17:E17"/>
    <mergeCell ref="G17:H17"/>
    <mergeCell ref="R17:V17"/>
    <mergeCell ref="X17:Z17"/>
    <mergeCell ref="AA17:AB17"/>
    <mergeCell ref="E22:G22"/>
    <mergeCell ref="H22:J22"/>
    <mergeCell ref="K22:M22"/>
    <mergeCell ref="N22:P22"/>
    <mergeCell ref="Q22:S22"/>
    <mergeCell ref="W22:Y22"/>
    <mergeCell ref="Z22:AD22"/>
    <mergeCell ref="AH22:AI27"/>
    <mergeCell ref="E23:G23"/>
    <mergeCell ref="H23:J23"/>
    <mergeCell ref="K23:M23"/>
    <mergeCell ref="N23:P23"/>
    <mergeCell ref="Z23:AD23"/>
    <mergeCell ref="Q24:S24"/>
    <mergeCell ref="W24:Y24"/>
    <mergeCell ref="Z24:AD24"/>
    <mergeCell ref="Q23:S23"/>
    <mergeCell ref="W23:Y23"/>
    <mergeCell ref="AH20:AI21"/>
    <mergeCell ref="E21:G21"/>
    <mergeCell ref="K21:M21"/>
    <mergeCell ref="N21:P21"/>
    <mergeCell ref="AA15:AB15"/>
    <mergeCell ref="Q20:S21"/>
    <mergeCell ref="T20:V21"/>
    <mergeCell ref="E20:P20"/>
    <mergeCell ref="T22:V27"/>
    <mergeCell ref="Z25:AD25"/>
    <mergeCell ref="Q26:S26"/>
    <mergeCell ref="W26:Y26"/>
    <mergeCell ref="Z26:AD26"/>
    <mergeCell ref="Q25:S25"/>
    <mergeCell ref="W25:Y25"/>
    <mergeCell ref="Z27:AD27"/>
    <mergeCell ref="E27:G27"/>
    <mergeCell ref="H27:J27"/>
    <mergeCell ref="K27:M27"/>
    <mergeCell ref="N27:P27"/>
    <mergeCell ref="Q27:S27"/>
    <mergeCell ref="W27:Y27"/>
    <mergeCell ref="X16:Z16"/>
    <mergeCell ref="AA16:AB16"/>
    <mergeCell ref="A15:E15"/>
    <mergeCell ref="G15:H15"/>
    <mergeCell ref="K15:L15"/>
    <mergeCell ref="N15:O15"/>
    <mergeCell ref="R15:V15"/>
    <mergeCell ref="X15:Z15"/>
    <mergeCell ref="W20:Y21"/>
    <mergeCell ref="Z20:AD21"/>
    <mergeCell ref="E24:G24"/>
    <mergeCell ref="N24:P24"/>
    <mergeCell ref="R16:V16"/>
    <mergeCell ref="A20:B21"/>
    <mergeCell ref="A22:B24"/>
    <mergeCell ref="K24:M24"/>
    <mergeCell ref="A16:E16"/>
    <mergeCell ref="G16:H16"/>
    <mergeCell ref="A25:B27"/>
    <mergeCell ref="C22:D22"/>
    <mergeCell ref="C23:D23"/>
    <mergeCell ref="C24:D24"/>
    <mergeCell ref="C20:D21"/>
    <mergeCell ref="C25:D25"/>
    <mergeCell ref="C26:D26"/>
    <mergeCell ref="C27:D27"/>
    <mergeCell ref="H24:J24"/>
    <mergeCell ref="H25:J25"/>
    <mergeCell ref="H26:J26"/>
    <mergeCell ref="K25:M25"/>
    <mergeCell ref="K26:M26"/>
    <mergeCell ref="N25:P25"/>
    <mergeCell ref="N26:P26"/>
    <mergeCell ref="W2:AA2"/>
    <mergeCell ref="F5:T5"/>
    <mergeCell ref="F6:L6"/>
    <mergeCell ref="Q6:U6"/>
    <mergeCell ref="X6:AB6"/>
    <mergeCell ref="D7:H7"/>
    <mergeCell ref="K7:N7"/>
    <mergeCell ref="O9:Y9"/>
    <mergeCell ref="F11:L11"/>
    <mergeCell ref="P11:U11"/>
    <mergeCell ref="I8:N8"/>
    <mergeCell ref="R8:W8"/>
    <mergeCell ref="A1:I2"/>
    <mergeCell ref="A3:I3"/>
    <mergeCell ref="A4:I4"/>
    <mergeCell ref="E25:G25"/>
    <mergeCell ref="E26:G26"/>
    <mergeCell ref="H21:J21"/>
    <mergeCell ref="N1:R1"/>
    <mergeCell ref="N2:R2"/>
  </mergeCells>
  <pageMargins left="0.31496062992125984" right="0.31496062992125984" top="0.74803149606299213" bottom="0.19685039370078741" header="0.31496062992125984" footer="0.11811023622047245"/>
  <pageSetup paperSize="9" scale="86" orientation="landscape" horizontalDpi="1200" verticalDpi="1200" r:id="rId1"/>
  <headerFooter>
    <oddFooter>&amp;LPage &amp;P of &amp;N&amp;R&amp;"Gulim,Regular"&amp;10SP-FMD-04-39 Rev.0
Effective date : 23-Nov-15</oddFooter>
  </headerFooter>
  <rowBreaks count="1" manualBreakCount="1">
    <brk id="28" max="29" man="1"/>
  </rowBreaks>
  <colBreaks count="1" manualBreakCount="1">
    <brk id="32" max="37" man="1"/>
  </colBreaks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34</xdr:col>
                <xdr:colOff>409575</xdr:colOff>
                <xdr:row>12</xdr:row>
                <xdr:rowOff>95250</xdr:rowOff>
              </from>
              <to>
                <xdr:col>40</xdr:col>
                <xdr:colOff>390525</xdr:colOff>
                <xdr:row>14</xdr:row>
                <xdr:rowOff>104775</xdr:rowOff>
              </to>
            </anchor>
          </objectPr>
        </oleObject>
      </mc:Choice>
      <mc:Fallback>
        <oleObject progId="Equation.3" shapeId="1027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18</xdr:col>
                    <xdr:colOff>19050</xdr:colOff>
                    <xdr:row>3</xdr:row>
                    <xdr:rowOff>95250</xdr:rowOff>
                  </from>
                  <to>
                    <xdr:col>18</xdr:col>
                    <xdr:colOff>238125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13</xdr:col>
                    <xdr:colOff>28575</xdr:colOff>
                    <xdr:row>3</xdr:row>
                    <xdr:rowOff>76200</xdr:rowOff>
                  </from>
                  <to>
                    <xdr:col>14</xdr:col>
                    <xdr:colOff>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28575</xdr:colOff>
                    <xdr:row>8</xdr:row>
                    <xdr:rowOff>85725</xdr:rowOff>
                  </from>
                  <to>
                    <xdr:col>7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104775</xdr:rowOff>
                  </from>
                  <to>
                    <xdr:col>11</xdr:col>
                    <xdr:colOff>19050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X56"/>
  <sheetViews>
    <sheetView topLeftCell="A2" zoomScale="90" zoomScaleNormal="90" zoomScaleSheetLayoutView="100" workbookViewId="0">
      <selection activeCell="M23" sqref="M23:N23"/>
    </sheetView>
  </sheetViews>
  <sheetFormatPr defaultRowHeight="15"/>
  <cols>
    <col min="1" max="1" width="1.140625" style="51" customWidth="1"/>
    <col min="2" max="29" width="7.5703125" style="51" customWidth="1"/>
    <col min="30" max="38" width="7.140625" style="51" customWidth="1"/>
    <col min="39" max="39" width="4.42578125" style="51" customWidth="1"/>
    <col min="40" max="40" width="7.140625" style="51" customWidth="1"/>
    <col min="41" max="41" width="1.42578125" style="51" customWidth="1"/>
    <col min="48" max="276" width="9.140625" style="51"/>
    <col min="277" max="277" width="1.140625" style="51" customWidth="1"/>
    <col min="278" max="278" width="7.5703125" style="51" customWidth="1"/>
    <col min="279" max="293" width="7.140625" style="51" customWidth="1"/>
    <col min="294" max="295" width="1.42578125" style="51" customWidth="1"/>
    <col min="296" max="296" width="6.42578125" style="51" customWidth="1"/>
    <col min="297" max="298" width="8.7109375" style="51" bestFit="1" customWidth="1"/>
    <col min="299" max="532" width="9.140625" style="51"/>
    <col min="533" max="533" width="1.140625" style="51" customWidth="1"/>
    <col min="534" max="534" width="7.5703125" style="51" customWidth="1"/>
    <col min="535" max="549" width="7.140625" style="51" customWidth="1"/>
    <col min="550" max="551" width="1.42578125" style="51" customWidth="1"/>
    <col min="552" max="552" width="6.42578125" style="51" customWidth="1"/>
    <col min="553" max="554" width="8.7109375" style="51" bestFit="1" customWidth="1"/>
    <col min="555" max="788" width="9.140625" style="51"/>
    <col min="789" max="789" width="1.140625" style="51" customWidth="1"/>
    <col min="790" max="790" width="7.5703125" style="51" customWidth="1"/>
    <col min="791" max="805" width="7.140625" style="51" customWidth="1"/>
    <col min="806" max="807" width="1.42578125" style="51" customWidth="1"/>
    <col min="808" max="808" width="6.42578125" style="51" customWidth="1"/>
    <col min="809" max="810" width="8.7109375" style="51" bestFit="1" customWidth="1"/>
    <col min="811" max="1044" width="9.140625" style="51"/>
    <col min="1045" max="1045" width="1.140625" style="51" customWidth="1"/>
    <col min="1046" max="1046" width="7.5703125" style="51" customWidth="1"/>
    <col min="1047" max="1061" width="7.140625" style="51" customWidth="1"/>
    <col min="1062" max="1063" width="1.42578125" style="51" customWidth="1"/>
    <col min="1064" max="1064" width="6.42578125" style="51" customWidth="1"/>
    <col min="1065" max="1066" width="8.7109375" style="51" bestFit="1" customWidth="1"/>
    <col min="1067" max="1300" width="9.140625" style="51"/>
    <col min="1301" max="1301" width="1.140625" style="51" customWidth="1"/>
    <col min="1302" max="1302" width="7.5703125" style="51" customWidth="1"/>
    <col min="1303" max="1317" width="7.140625" style="51" customWidth="1"/>
    <col min="1318" max="1319" width="1.42578125" style="51" customWidth="1"/>
    <col min="1320" max="1320" width="6.42578125" style="51" customWidth="1"/>
    <col min="1321" max="1322" width="8.7109375" style="51" bestFit="1" customWidth="1"/>
    <col min="1323" max="1556" width="9.140625" style="51"/>
    <col min="1557" max="1557" width="1.140625" style="51" customWidth="1"/>
    <col min="1558" max="1558" width="7.5703125" style="51" customWidth="1"/>
    <col min="1559" max="1573" width="7.140625" style="51" customWidth="1"/>
    <col min="1574" max="1575" width="1.42578125" style="51" customWidth="1"/>
    <col min="1576" max="1576" width="6.42578125" style="51" customWidth="1"/>
    <col min="1577" max="1578" width="8.7109375" style="51" bestFit="1" customWidth="1"/>
    <col min="1579" max="1812" width="9.140625" style="51"/>
    <col min="1813" max="1813" width="1.140625" style="51" customWidth="1"/>
    <col min="1814" max="1814" width="7.5703125" style="51" customWidth="1"/>
    <col min="1815" max="1829" width="7.140625" style="51" customWidth="1"/>
    <col min="1830" max="1831" width="1.42578125" style="51" customWidth="1"/>
    <col min="1832" max="1832" width="6.42578125" style="51" customWidth="1"/>
    <col min="1833" max="1834" width="8.7109375" style="51" bestFit="1" customWidth="1"/>
    <col min="1835" max="2068" width="9.140625" style="51"/>
    <col min="2069" max="2069" width="1.140625" style="51" customWidth="1"/>
    <col min="2070" max="2070" width="7.5703125" style="51" customWidth="1"/>
    <col min="2071" max="2085" width="7.140625" style="51" customWidth="1"/>
    <col min="2086" max="2087" width="1.42578125" style="51" customWidth="1"/>
    <col min="2088" max="2088" width="6.42578125" style="51" customWidth="1"/>
    <col min="2089" max="2090" width="8.7109375" style="51" bestFit="1" customWidth="1"/>
    <col min="2091" max="2324" width="9.140625" style="51"/>
    <col min="2325" max="2325" width="1.140625" style="51" customWidth="1"/>
    <col min="2326" max="2326" width="7.5703125" style="51" customWidth="1"/>
    <col min="2327" max="2341" width="7.140625" style="51" customWidth="1"/>
    <col min="2342" max="2343" width="1.42578125" style="51" customWidth="1"/>
    <col min="2344" max="2344" width="6.42578125" style="51" customWidth="1"/>
    <col min="2345" max="2346" width="8.7109375" style="51" bestFit="1" customWidth="1"/>
    <col min="2347" max="2580" width="9.140625" style="51"/>
    <col min="2581" max="2581" width="1.140625" style="51" customWidth="1"/>
    <col min="2582" max="2582" width="7.5703125" style="51" customWidth="1"/>
    <col min="2583" max="2597" width="7.140625" style="51" customWidth="1"/>
    <col min="2598" max="2599" width="1.42578125" style="51" customWidth="1"/>
    <col min="2600" max="2600" width="6.42578125" style="51" customWidth="1"/>
    <col min="2601" max="2602" width="8.7109375" style="51" bestFit="1" customWidth="1"/>
    <col min="2603" max="2836" width="9.140625" style="51"/>
    <col min="2837" max="2837" width="1.140625" style="51" customWidth="1"/>
    <col min="2838" max="2838" width="7.5703125" style="51" customWidth="1"/>
    <col min="2839" max="2853" width="7.140625" style="51" customWidth="1"/>
    <col min="2854" max="2855" width="1.42578125" style="51" customWidth="1"/>
    <col min="2856" max="2856" width="6.42578125" style="51" customWidth="1"/>
    <col min="2857" max="2858" width="8.7109375" style="51" bestFit="1" customWidth="1"/>
    <col min="2859" max="3092" width="9.140625" style="51"/>
    <col min="3093" max="3093" width="1.140625" style="51" customWidth="1"/>
    <col min="3094" max="3094" width="7.5703125" style="51" customWidth="1"/>
    <col min="3095" max="3109" width="7.140625" style="51" customWidth="1"/>
    <col min="3110" max="3111" width="1.42578125" style="51" customWidth="1"/>
    <col min="3112" max="3112" width="6.42578125" style="51" customWidth="1"/>
    <col min="3113" max="3114" width="8.7109375" style="51" bestFit="1" customWidth="1"/>
    <col min="3115" max="3348" width="9.140625" style="51"/>
    <col min="3349" max="3349" width="1.140625" style="51" customWidth="1"/>
    <col min="3350" max="3350" width="7.5703125" style="51" customWidth="1"/>
    <col min="3351" max="3365" width="7.140625" style="51" customWidth="1"/>
    <col min="3366" max="3367" width="1.42578125" style="51" customWidth="1"/>
    <col min="3368" max="3368" width="6.42578125" style="51" customWidth="1"/>
    <col min="3369" max="3370" width="8.7109375" style="51" bestFit="1" customWidth="1"/>
    <col min="3371" max="3604" width="9.140625" style="51"/>
    <col min="3605" max="3605" width="1.140625" style="51" customWidth="1"/>
    <col min="3606" max="3606" width="7.5703125" style="51" customWidth="1"/>
    <col min="3607" max="3621" width="7.140625" style="51" customWidth="1"/>
    <col min="3622" max="3623" width="1.42578125" style="51" customWidth="1"/>
    <col min="3624" max="3624" width="6.42578125" style="51" customWidth="1"/>
    <col min="3625" max="3626" width="8.7109375" style="51" bestFit="1" customWidth="1"/>
    <col min="3627" max="3860" width="9.140625" style="51"/>
    <col min="3861" max="3861" width="1.140625" style="51" customWidth="1"/>
    <col min="3862" max="3862" width="7.5703125" style="51" customWidth="1"/>
    <col min="3863" max="3877" width="7.140625" style="51" customWidth="1"/>
    <col min="3878" max="3879" width="1.42578125" style="51" customWidth="1"/>
    <col min="3880" max="3880" width="6.42578125" style="51" customWidth="1"/>
    <col min="3881" max="3882" width="8.7109375" style="51" bestFit="1" customWidth="1"/>
    <col min="3883" max="4116" width="9.140625" style="51"/>
    <col min="4117" max="4117" width="1.140625" style="51" customWidth="1"/>
    <col min="4118" max="4118" width="7.5703125" style="51" customWidth="1"/>
    <col min="4119" max="4133" width="7.140625" style="51" customWidth="1"/>
    <col min="4134" max="4135" width="1.42578125" style="51" customWidth="1"/>
    <col min="4136" max="4136" width="6.42578125" style="51" customWidth="1"/>
    <col min="4137" max="4138" width="8.7109375" style="51" bestFit="1" customWidth="1"/>
    <col min="4139" max="4372" width="9.140625" style="51"/>
    <col min="4373" max="4373" width="1.140625" style="51" customWidth="1"/>
    <col min="4374" max="4374" width="7.5703125" style="51" customWidth="1"/>
    <col min="4375" max="4389" width="7.140625" style="51" customWidth="1"/>
    <col min="4390" max="4391" width="1.42578125" style="51" customWidth="1"/>
    <col min="4392" max="4392" width="6.42578125" style="51" customWidth="1"/>
    <col min="4393" max="4394" width="8.7109375" style="51" bestFit="1" customWidth="1"/>
    <col min="4395" max="4628" width="9.140625" style="51"/>
    <col min="4629" max="4629" width="1.140625" style="51" customWidth="1"/>
    <col min="4630" max="4630" width="7.5703125" style="51" customWidth="1"/>
    <col min="4631" max="4645" width="7.140625" style="51" customWidth="1"/>
    <col min="4646" max="4647" width="1.42578125" style="51" customWidth="1"/>
    <col min="4648" max="4648" width="6.42578125" style="51" customWidth="1"/>
    <col min="4649" max="4650" width="8.7109375" style="51" bestFit="1" customWidth="1"/>
    <col min="4651" max="4884" width="9.140625" style="51"/>
    <col min="4885" max="4885" width="1.140625" style="51" customWidth="1"/>
    <col min="4886" max="4886" width="7.5703125" style="51" customWidth="1"/>
    <col min="4887" max="4901" width="7.140625" style="51" customWidth="1"/>
    <col min="4902" max="4903" width="1.42578125" style="51" customWidth="1"/>
    <col min="4904" max="4904" width="6.42578125" style="51" customWidth="1"/>
    <col min="4905" max="4906" width="8.7109375" style="51" bestFit="1" customWidth="1"/>
    <col min="4907" max="5140" width="9.140625" style="51"/>
    <col min="5141" max="5141" width="1.140625" style="51" customWidth="1"/>
    <col min="5142" max="5142" width="7.5703125" style="51" customWidth="1"/>
    <col min="5143" max="5157" width="7.140625" style="51" customWidth="1"/>
    <col min="5158" max="5159" width="1.42578125" style="51" customWidth="1"/>
    <col min="5160" max="5160" width="6.42578125" style="51" customWidth="1"/>
    <col min="5161" max="5162" width="8.7109375" style="51" bestFit="1" customWidth="1"/>
    <col min="5163" max="5396" width="9.140625" style="51"/>
    <col min="5397" max="5397" width="1.140625" style="51" customWidth="1"/>
    <col min="5398" max="5398" width="7.5703125" style="51" customWidth="1"/>
    <col min="5399" max="5413" width="7.140625" style="51" customWidth="1"/>
    <col min="5414" max="5415" width="1.42578125" style="51" customWidth="1"/>
    <col min="5416" max="5416" width="6.42578125" style="51" customWidth="1"/>
    <col min="5417" max="5418" width="8.7109375" style="51" bestFit="1" customWidth="1"/>
    <col min="5419" max="5652" width="9.140625" style="51"/>
    <col min="5653" max="5653" width="1.140625" style="51" customWidth="1"/>
    <col min="5654" max="5654" width="7.5703125" style="51" customWidth="1"/>
    <col min="5655" max="5669" width="7.140625" style="51" customWidth="1"/>
    <col min="5670" max="5671" width="1.42578125" style="51" customWidth="1"/>
    <col min="5672" max="5672" width="6.42578125" style="51" customWidth="1"/>
    <col min="5673" max="5674" width="8.7109375" style="51" bestFit="1" customWidth="1"/>
    <col min="5675" max="5908" width="9.140625" style="51"/>
    <col min="5909" max="5909" width="1.140625" style="51" customWidth="1"/>
    <col min="5910" max="5910" width="7.5703125" style="51" customWidth="1"/>
    <col min="5911" max="5925" width="7.140625" style="51" customWidth="1"/>
    <col min="5926" max="5927" width="1.42578125" style="51" customWidth="1"/>
    <col min="5928" max="5928" width="6.42578125" style="51" customWidth="1"/>
    <col min="5929" max="5930" width="8.7109375" style="51" bestFit="1" customWidth="1"/>
    <col min="5931" max="6164" width="9.140625" style="51"/>
    <col min="6165" max="6165" width="1.140625" style="51" customWidth="1"/>
    <col min="6166" max="6166" width="7.5703125" style="51" customWidth="1"/>
    <col min="6167" max="6181" width="7.140625" style="51" customWidth="1"/>
    <col min="6182" max="6183" width="1.42578125" style="51" customWidth="1"/>
    <col min="6184" max="6184" width="6.42578125" style="51" customWidth="1"/>
    <col min="6185" max="6186" width="8.7109375" style="51" bestFit="1" customWidth="1"/>
    <col min="6187" max="6420" width="9.140625" style="51"/>
    <col min="6421" max="6421" width="1.140625" style="51" customWidth="1"/>
    <col min="6422" max="6422" width="7.5703125" style="51" customWidth="1"/>
    <col min="6423" max="6437" width="7.140625" style="51" customWidth="1"/>
    <col min="6438" max="6439" width="1.42578125" style="51" customWidth="1"/>
    <col min="6440" max="6440" width="6.42578125" style="51" customWidth="1"/>
    <col min="6441" max="6442" width="8.7109375" style="51" bestFit="1" customWidth="1"/>
    <col min="6443" max="6676" width="9.140625" style="51"/>
    <col min="6677" max="6677" width="1.140625" style="51" customWidth="1"/>
    <col min="6678" max="6678" width="7.5703125" style="51" customWidth="1"/>
    <col min="6679" max="6693" width="7.140625" style="51" customWidth="1"/>
    <col min="6694" max="6695" width="1.42578125" style="51" customWidth="1"/>
    <col min="6696" max="6696" width="6.42578125" style="51" customWidth="1"/>
    <col min="6697" max="6698" width="8.7109375" style="51" bestFit="1" customWidth="1"/>
    <col min="6699" max="6932" width="9.140625" style="51"/>
    <col min="6933" max="6933" width="1.140625" style="51" customWidth="1"/>
    <col min="6934" max="6934" width="7.5703125" style="51" customWidth="1"/>
    <col min="6935" max="6949" width="7.140625" style="51" customWidth="1"/>
    <col min="6950" max="6951" width="1.42578125" style="51" customWidth="1"/>
    <col min="6952" max="6952" width="6.42578125" style="51" customWidth="1"/>
    <col min="6953" max="6954" width="8.7109375" style="51" bestFit="1" customWidth="1"/>
    <col min="6955" max="7188" width="9.140625" style="51"/>
    <col min="7189" max="7189" width="1.140625" style="51" customWidth="1"/>
    <col min="7190" max="7190" width="7.5703125" style="51" customWidth="1"/>
    <col min="7191" max="7205" width="7.140625" style="51" customWidth="1"/>
    <col min="7206" max="7207" width="1.42578125" style="51" customWidth="1"/>
    <col min="7208" max="7208" width="6.42578125" style="51" customWidth="1"/>
    <col min="7209" max="7210" width="8.7109375" style="51" bestFit="1" customWidth="1"/>
    <col min="7211" max="7444" width="9.140625" style="51"/>
    <col min="7445" max="7445" width="1.140625" style="51" customWidth="1"/>
    <col min="7446" max="7446" width="7.5703125" style="51" customWidth="1"/>
    <col min="7447" max="7461" width="7.140625" style="51" customWidth="1"/>
    <col min="7462" max="7463" width="1.42578125" style="51" customWidth="1"/>
    <col min="7464" max="7464" width="6.42578125" style="51" customWidth="1"/>
    <col min="7465" max="7466" width="8.7109375" style="51" bestFit="1" customWidth="1"/>
    <col min="7467" max="7700" width="9.140625" style="51"/>
    <col min="7701" max="7701" width="1.140625" style="51" customWidth="1"/>
    <col min="7702" max="7702" width="7.5703125" style="51" customWidth="1"/>
    <col min="7703" max="7717" width="7.140625" style="51" customWidth="1"/>
    <col min="7718" max="7719" width="1.42578125" style="51" customWidth="1"/>
    <col min="7720" max="7720" width="6.42578125" style="51" customWidth="1"/>
    <col min="7721" max="7722" width="8.7109375" style="51" bestFit="1" customWidth="1"/>
    <col min="7723" max="7956" width="9.140625" style="51"/>
    <col min="7957" max="7957" width="1.140625" style="51" customWidth="1"/>
    <col min="7958" max="7958" width="7.5703125" style="51" customWidth="1"/>
    <col min="7959" max="7973" width="7.140625" style="51" customWidth="1"/>
    <col min="7974" max="7975" width="1.42578125" style="51" customWidth="1"/>
    <col min="7976" max="7976" width="6.42578125" style="51" customWidth="1"/>
    <col min="7977" max="7978" width="8.7109375" style="51" bestFit="1" customWidth="1"/>
    <col min="7979" max="8212" width="9.140625" style="51"/>
    <col min="8213" max="8213" width="1.140625" style="51" customWidth="1"/>
    <col min="8214" max="8214" width="7.5703125" style="51" customWidth="1"/>
    <col min="8215" max="8229" width="7.140625" style="51" customWidth="1"/>
    <col min="8230" max="8231" width="1.42578125" style="51" customWidth="1"/>
    <col min="8232" max="8232" width="6.42578125" style="51" customWidth="1"/>
    <col min="8233" max="8234" width="8.7109375" style="51" bestFit="1" customWidth="1"/>
    <col min="8235" max="8468" width="9.140625" style="51"/>
    <col min="8469" max="8469" width="1.140625" style="51" customWidth="1"/>
    <col min="8470" max="8470" width="7.5703125" style="51" customWidth="1"/>
    <col min="8471" max="8485" width="7.140625" style="51" customWidth="1"/>
    <col min="8486" max="8487" width="1.42578125" style="51" customWidth="1"/>
    <col min="8488" max="8488" width="6.42578125" style="51" customWidth="1"/>
    <col min="8489" max="8490" width="8.7109375" style="51" bestFit="1" customWidth="1"/>
    <col min="8491" max="8724" width="9.140625" style="51"/>
    <col min="8725" max="8725" width="1.140625" style="51" customWidth="1"/>
    <col min="8726" max="8726" width="7.5703125" style="51" customWidth="1"/>
    <col min="8727" max="8741" width="7.140625" style="51" customWidth="1"/>
    <col min="8742" max="8743" width="1.42578125" style="51" customWidth="1"/>
    <col min="8744" max="8744" width="6.42578125" style="51" customWidth="1"/>
    <col min="8745" max="8746" width="8.7109375" style="51" bestFit="1" customWidth="1"/>
    <col min="8747" max="8980" width="9.140625" style="51"/>
    <col min="8981" max="8981" width="1.140625" style="51" customWidth="1"/>
    <col min="8982" max="8982" width="7.5703125" style="51" customWidth="1"/>
    <col min="8983" max="8997" width="7.140625" style="51" customWidth="1"/>
    <col min="8998" max="8999" width="1.42578125" style="51" customWidth="1"/>
    <col min="9000" max="9000" width="6.42578125" style="51" customWidth="1"/>
    <col min="9001" max="9002" width="8.7109375" style="51" bestFit="1" customWidth="1"/>
    <col min="9003" max="9236" width="9.140625" style="51"/>
    <col min="9237" max="9237" width="1.140625" style="51" customWidth="1"/>
    <col min="9238" max="9238" width="7.5703125" style="51" customWidth="1"/>
    <col min="9239" max="9253" width="7.140625" style="51" customWidth="1"/>
    <col min="9254" max="9255" width="1.42578125" style="51" customWidth="1"/>
    <col min="9256" max="9256" width="6.42578125" style="51" customWidth="1"/>
    <col min="9257" max="9258" width="8.7109375" style="51" bestFit="1" customWidth="1"/>
    <col min="9259" max="9492" width="9.140625" style="51"/>
    <col min="9493" max="9493" width="1.140625" style="51" customWidth="1"/>
    <col min="9494" max="9494" width="7.5703125" style="51" customWidth="1"/>
    <col min="9495" max="9509" width="7.140625" style="51" customWidth="1"/>
    <col min="9510" max="9511" width="1.42578125" style="51" customWidth="1"/>
    <col min="9512" max="9512" width="6.42578125" style="51" customWidth="1"/>
    <col min="9513" max="9514" width="8.7109375" style="51" bestFit="1" customWidth="1"/>
    <col min="9515" max="9748" width="9.140625" style="51"/>
    <col min="9749" max="9749" width="1.140625" style="51" customWidth="1"/>
    <col min="9750" max="9750" width="7.5703125" style="51" customWidth="1"/>
    <col min="9751" max="9765" width="7.140625" style="51" customWidth="1"/>
    <col min="9766" max="9767" width="1.42578125" style="51" customWidth="1"/>
    <col min="9768" max="9768" width="6.42578125" style="51" customWidth="1"/>
    <col min="9769" max="9770" width="8.7109375" style="51" bestFit="1" customWidth="1"/>
    <col min="9771" max="10004" width="9.140625" style="51"/>
    <col min="10005" max="10005" width="1.140625" style="51" customWidth="1"/>
    <col min="10006" max="10006" width="7.5703125" style="51" customWidth="1"/>
    <col min="10007" max="10021" width="7.140625" style="51" customWidth="1"/>
    <col min="10022" max="10023" width="1.42578125" style="51" customWidth="1"/>
    <col min="10024" max="10024" width="6.42578125" style="51" customWidth="1"/>
    <col min="10025" max="10026" width="8.7109375" style="51" bestFit="1" customWidth="1"/>
    <col min="10027" max="10260" width="9.140625" style="51"/>
    <col min="10261" max="10261" width="1.140625" style="51" customWidth="1"/>
    <col min="10262" max="10262" width="7.5703125" style="51" customWidth="1"/>
    <col min="10263" max="10277" width="7.140625" style="51" customWidth="1"/>
    <col min="10278" max="10279" width="1.42578125" style="51" customWidth="1"/>
    <col min="10280" max="10280" width="6.42578125" style="51" customWidth="1"/>
    <col min="10281" max="10282" width="8.7109375" style="51" bestFit="1" customWidth="1"/>
    <col min="10283" max="10516" width="9.140625" style="51"/>
    <col min="10517" max="10517" width="1.140625" style="51" customWidth="1"/>
    <col min="10518" max="10518" width="7.5703125" style="51" customWidth="1"/>
    <col min="10519" max="10533" width="7.140625" style="51" customWidth="1"/>
    <col min="10534" max="10535" width="1.42578125" style="51" customWidth="1"/>
    <col min="10536" max="10536" width="6.42578125" style="51" customWidth="1"/>
    <col min="10537" max="10538" width="8.7109375" style="51" bestFit="1" customWidth="1"/>
    <col min="10539" max="10772" width="9.140625" style="51"/>
    <col min="10773" max="10773" width="1.140625" style="51" customWidth="1"/>
    <col min="10774" max="10774" width="7.5703125" style="51" customWidth="1"/>
    <col min="10775" max="10789" width="7.140625" style="51" customWidth="1"/>
    <col min="10790" max="10791" width="1.42578125" style="51" customWidth="1"/>
    <col min="10792" max="10792" width="6.42578125" style="51" customWidth="1"/>
    <col min="10793" max="10794" width="8.7109375" style="51" bestFit="1" customWidth="1"/>
    <col min="10795" max="11028" width="9.140625" style="51"/>
    <col min="11029" max="11029" width="1.140625" style="51" customWidth="1"/>
    <col min="11030" max="11030" width="7.5703125" style="51" customWidth="1"/>
    <col min="11031" max="11045" width="7.140625" style="51" customWidth="1"/>
    <col min="11046" max="11047" width="1.42578125" style="51" customWidth="1"/>
    <col min="11048" max="11048" width="6.42578125" style="51" customWidth="1"/>
    <col min="11049" max="11050" width="8.7109375" style="51" bestFit="1" customWidth="1"/>
    <col min="11051" max="11284" width="9.140625" style="51"/>
    <col min="11285" max="11285" width="1.140625" style="51" customWidth="1"/>
    <col min="11286" max="11286" width="7.5703125" style="51" customWidth="1"/>
    <col min="11287" max="11301" width="7.140625" style="51" customWidth="1"/>
    <col min="11302" max="11303" width="1.42578125" style="51" customWidth="1"/>
    <col min="11304" max="11304" width="6.42578125" style="51" customWidth="1"/>
    <col min="11305" max="11306" width="8.7109375" style="51" bestFit="1" customWidth="1"/>
    <col min="11307" max="11540" width="9.140625" style="51"/>
    <col min="11541" max="11541" width="1.140625" style="51" customWidth="1"/>
    <col min="11542" max="11542" width="7.5703125" style="51" customWidth="1"/>
    <col min="11543" max="11557" width="7.140625" style="51" customWidth="1"/>
    <col min="11558" max="11559" width="1.42578125" style="51" customWidth="1"/>
    <col min="11560" max="11560" width="6.42578125" style="51" customWidth="1"/>
    <col min="11561" max="11562" width="8.7109375" style="51" bestFit="1" customWidth="1"/>
    <col min="11563" max="11796" width="9.140625" style="51"/>
    <col min="11797" max="11797" width="1.140625" style="51" customWidth="1"/>
    <col min="11798" max="11798" width="7.5703125" style="51" customWidth="1"/>
    <col min="11799" max="11813" width="7.140625" style="51" customWidth="1"/>
    <col min="11814" max="11815" width="1.42578125" style="51" customWidth="1"/>
    <col min="11816" max="11816" width="6.42578125" style="51" customWidth="1"/>
    <col min="11817" max="11818" width="8.7109375" style="51" bestFit="1" customWidth="1"/>
    <col min="11819" max="12052" width="9.140625" style="51"/>
    <col min="12053" max="12053" width="1.140625" style="51" customWidth="1"/>
    <col min="12054" max="12054" width="7.5703125" style="51" customWidth="1"/>
    <col min="12055" max="12069" width="7.140625" style="51" customWidth="1"/>
    <col min="12070" max="12071" width="1.42578125" style="51" customWidth="1"/>
    <col min="12072" max="12072" width="6.42578125" style="51" customWidth="1"/>
    <col min="12073" max="12074" width="8.7109375" style="51" bestFit="1" customWidth="1"/>
    <col min="12075" max="12308" width="9.140625" style="51"/>
    <col min="12309" max="12309" width="1.140625" style="51" customWidth="1"/>
    <col min="12310" max="12310" width="7.5703125" style="51" customWidth="1"/>
    <col min="12311" max="12325" width="7.140625" style="51" customWidth="1"/>
    <col min="12326" max="12327" width="1.42578125" style="51" customWidth="1"/>
    <col min="12328" max="12328" width="6.42578125" style="51" customWidth="1"/>
    <col min="12329" max="12330" width="8.7109375" style="51" bestFit="1" customWidth="1"/>
    <col min="12331" max="12564" width="9.140625" style="51"/>
    <col min="12565" max="12565" width="1.140625" style="51" customWidth="1"/>
    <col min="12566" max="12566" width="7.5703125" style="51" customWidth="1"/>
    <col min="12567" max="12581" width="7.140625" style="51" customWidth="1"/>
    <col min="12582" max="12583" width="1.42578125" style="51" customWidth="1"/>
    <col min="12584" max="12584" width="6.42578125" style="51" customWidth="1"/>
    <col min="12585" max="12586" width="8.7109375" style="51" bestFit="1" customWidth="1"/>
    <col min="12587" max="12820" width="9.140625" style="51"/>
    <col min="12821" max="12821" width="1.140625" style="51" customWidth="1"/>
    <col min="12822" max="12822" width="7.5703125" style="51" customWidth="1"/>
    <col min="12823" max="12837" width="7.140625" style="51" customWidth="1"/>
    <col min="12838" max="12839" width="1.42578125" style="51" customWidth="1"/>
    <col min="12840" max="12840" width="6.42578125" style="51" customWidth="1"/>
    <col min="12841" max="12842" width="8.7109375" style="51" bestFit="1" customWidth="1"/>
    <col min="12843" max="13076" width="9.140625" style="51"/>
    <col min="13077" max="13077" width="1.140625" style="51" customWidth="1"/>
    <col min="13078" max="13078" width="7.5703125" style="51" customWidth="1"/>
    <col min="13079" max="13093" width="7.140625" style="51" customWidth="1"/>
    <col min="13094" max="13095" width="1.42578125" style="51" customWidth="1"/>
    <col min="13096" max="13096" width="6.42578125" style="51" customWidth="1"/>
    <col min="13097" max="13098" width="8.7109375" style="51" bestFit="1" customWidth="1"/>
    <col min="13099" max="13332" width="9.140625" style="51"/>
    <col min="13333" max="13333" width="1.140625" style="51" customWidth="1"/>
    <col min="13334" max="13334" width="7.5703125" style="51" customWidth="1"/>
    <col min="13335" max="13349" width="7.140625" style="51" customWidth="1"/>
    <col min="13350" max="13351" width="1.42578125" style="51" customWidth="1"/>
    <col min="13352" max="13352" width="6.42578125" style="51" customWidth="1"/>
    <col min="13353" max="13354" width="8.7109375" style="51" bestFit="1" customWidth="1"/>
    <col min="13355" max="13588" width="9.140625" style="51"/>
    <col min="13589" max="13589" width="1.140625" style="51" customWidth="1"/>
    <col min="13590" max="13590" width="7.5703125" style="51" customWidth="1"/>
    <col min="13591" max="13605" width="7.140625" style="51" customWidth="1"/>
    <col min="13606" max="13607" width="1.42578125" style="51" customWidth="1"/>
    <col min="13608" max="13608" width="6.42578125" style="51" customWidth="1"/>
    <col min="13609" max="13610" width="8.7109375" style="51" bestFit="1" customWidth="1"/>
    <col min="13611" max="13844" width="9.140625" style="51"/>
    <col min="13845" max="13845" width="1.140625" style="51" customWidth="1"/>
    <col min="13846" max="13846" width="7.5703125" style="51" customWidth="1"/>
    <col min="13847" max="13861" width="7.140625" style="51" customWidth="1"/>
    <col min="13862" max="13863" width="1.42578125" style="51" customWidth="1"/>
    <col min="13864" max="13864" width="6.42578125" style="51" customWidth="1"/>
    <col min="13865" max="13866" width="8.7109375" style="51" bestFit="1" customWidth="1"/>
    <col min="13867" max="14100" width="9.140625" style="51"/>
    <col min="14101" max="14101" width="1.140625" style="51" customWidth="1"/>
    <col min="14102" max="14102" width="7.5703125" style="51" customWidth="1"/>
    <col min="14103" max="14117" width="7.140625" style="51" customWidth="1"/>
    <col min="14118" max="14119" width="1.42578125" style="51" customWidth="1"/>
    <col min="14120" max="14120" width="6.42578125" style="51" customWidth="1"/>
    <col min="14121" max="14122" width="8.7109375" style="51" bestFit="1" customWidth="1"/>
    <col min="14123" max="14356" width="9.140625" style="51"/>
    <col min="14357" max="14357" width="1.140625" style="51" customWidth="1"/>
    <col min="14358" max="14358" width="7.5703125" style="51" customWidth="1"/>
    <col min="14359" max="14373" width="7.140625" style="51" customWidth="1"/>
    <col min="14374" max="14375" width="1.42578125" style="51" customWidth="1"/>
    <col min="14376" max="14376" width="6.42578125" style="51" customWidth="1"/>
    <col min="14377" max="14378" width="8.7109375" style="51" bestFit="1" customWidth="1"/>
    <col min="14379" max="14612" width="9.140625" style="51"/>
    <col min="14613" max="14613" width="1.140625" style="51" customWidth="1"/>
    <col min="14614" max="14614" width="7.5703125" style="51" customWidth="1"/>
    <col min="14615" max="14629" width="7.140625" style="51" customWidth="1"/>
    <col min="14630" max="14631" width="1.42578125" style="51" customWidth="1"/>
    <col min="14632" max="14632" width="6.42578125" style="51" customWidth="1"/>
    <col min="14633" max="14634" width="8.7109375" style="51" bestFit="1" customWidth="1"/>
    <col min="14635" max="14868" width="9.140625" style="51"/>
    <col min="14869" max="14869" width="1.140625" style="51" customWidth="1"/>
    <col min="14870" max="14870" width="7.5703125" style="51" customWidth="1"/>
    <col min="14871" max="14885" width="7.140625" style="51" customWidth="1"/>
    <col min="14886" max="14887" width="1.42578125" style="51" customWidth="1"/>
    <col min="14888" max="14888" width="6.42578125" style="51" customWidth="1"/>
    <col min="14889" max="14890" width="8.7109375" style="51" bestFit="1" customWidth="1"/>
    <col min="14891" max="15124" width="9.140625" style="51"/>
    <col min="15125" max="15125" width="1.140625" style="51" customWidth="1"/>
    <col min="15126" max="15126" width="7.5703125" style="51" customWidth="1"/>
    <col min="15127" max="15141" width="7.140625" style="51" customWidth="1"/>
    <col min="15142" max="15143" width="1.42578125" style="51" customWidth="1"/>
    <col min="15144" max="15144" width="6.42578125" style="51" customWidth="1"/>
    <col min="15145" max="15146" width="8.7109375" style="51" bestFit="1" customWidth="1"/>
    <col min="15147" max="15380" width="9.140625" style="51"/>
    <col min="15381" max="15381" width="1.140625" style="51" customWidth="1"/>
    <col min="15382" max="15382" width="7.5703125" style="51" customWidth="1"/>
    <col min="15383" max="15397" width="7.140625" style="51" customWidth="1"/>
    <col min="15398" max="15399" width="1.42578125" style="51" customWidth="1"/>
    <col min="15400" max="15400" width="6.42578125" style="51" customWidth="1"/>
    <col min="15401" max="15402" width="8.7109375" style="51" bestFit="1" customWidth="1"/>
    <col min="15403" max="15636" width="9.140625" style="51"/>
    <col min="15637" max="15637" width="1.140625" style="51" customWidth="1"/>
    <col min="15638" max="15638" width="7.5703125" style="51" customWidth="1"/>
    <col min="15639" max="15653" width="7.140625" style="51" customWidth="1"/>
    <col min="15654" max="15655" width="1.42578125" style="51" customWidth="1"/>
    <col min="15656" max="15656" width="6.42578125" style="51" customWidth="1"/>
    <col min="15657" max="15658" width="8.7109375" style="51" bestFit="1" customWidth="1"/>
    <col min="15659" max="15892" width="9.140625" style="51"/>
    <col min="15893" max="15893" width="1.140625" style="51" customWidth="1"/>
    <col min="15894" max="15894" width="7.5703125" style="51" customWidth="1"/>
    <col min="15895" max="15909" width="7.140625" style="51" customWidth="1"/>
    <col min="15910" max="15911" width="1.42578125" style="51" customWidth="1"/>
    <col min="15912" max="15912" width="6.42578125" style="51" customWidth="1"/>
    <col min="15913" max="15914" width="8.7109375" style="51" bestFit="1" customWidth="1"/>
    <col min="15915" max="16148" width="9.140625" style="51"/>
    <col min="16149" max="16149" width="1.140625" style="51" customWidth="1"/>
    <col min="16150" max="16150" width="7.5703125" style="51" customWidth="1"/>
    <col min="16151" max="16165" width="7.140625" style="51" customWidth="1"/>
    <col min="16166" max="16167" width="1.42578125" style="51" customWidth="1"/>
    <col min="16168" max="16168" width="6.42578125" style="51" customWidth="1"/>
    <col min="16169" max="16170" width="8.7109375" style="51" bestFit="1" customWidth="1"/>
    <col min="16171" max="16384" width="9.140625" style="51"/>
  </cols>
  <sheetData>
    <row r="1" spans="1:50" ht="18" customHeight="1"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50" ht="33" customHeight="1">
      <c r="B2" s="462" t="s">
        <v>43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</row>
    <row r="3" spans="1:50" ht="9.75" customHeight="1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5"/>
      <c r="AE3" s="55"/>
      <c r="AF3" s="55"/>
      <c r="AG3" s="55"/>
      <c r="AH3" s="56"/>
      <c r="AI3" s="56"/>
      <c r="AJ3" s="57"/>
      <c r="AK3" s="57"/>
      <c r="AO3" s="58"/>
    </row>
    <row r="4" spans="1:50" ht="9.75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5"/>
      <c r="AE4" s="55"/>
      <c r="AF4" s="55"/>
      <c r="AG4" s="55"/>
      <c r="AH4" s="56"/>
      <c r="AI4" s="56"/>
      <c r="AJ4" s="57"/>
      <c r="AK4" s="57"/>
      <c r="AO4" s="58"/>
    </row>
    <row r="5" spans="1:50" s="121" customFormat="1" ht="18" customHeight="1">
      <c r="B5" s="463" t="s">
        <v>16</v>
      </c>
      <c r="C5" s="463"/>
      <c r="D5" s="59" t="s">
        <v>17</v>
      </c>
      <c r="E5" s="346">
        <v>11</v>
      </c>
      <c r="F5" s="346"/>
      <c r="G5" s="60" t="s">
        <v>18</v>
      </c>
      <c r="H5" s="59" t="s">
        <v>19</v>
      </c>
      <c r="I5" s="346">
        <v>2.5</v>
      </c>
      <c r="J5" s="346"/>
      <c r="K5" s="347" t="s">
        <v>20</v>
      </c>
      <c r="L5" s="347"/>
      <c r="Q5" s="384" t="s">
        <v>25</v>
      </c>
      <c r="R5" s="385"/>
      <c r="X5" s="124"/>
      <c r="AD5" s="125"/>
      <c r="AH5" s="25"/>
      <c r="AI5" s="61">
        <v>0.2</v>
      </c>
      <c r="AJ5" s="26"/>
      <c r="AK5" s="26"/>
      <c r="AL5" s="26"/>
      <c r="AM5" s="26"/>
    </row>
    <row r="6" spans="1:50" s="121" customFormat="1" ht="18" customHeight="1">
      <c r="B6" s="124" t="s">
        <v>23</v>
      </c>
      <c r="C6" s="124"/>
      <c r="D6" s="361">
        <v>60</v>
      </c>
      <c r="E6" s="361"/>
      <c r="F6" s="124"/>
      <c r="Q6" s="33">
        <v>0.2</v>
      </c>
      <c r="R6" s="34">
        <v>1.1000000000000001</v>
      </c>
      <c r="AH6" s="25"/>
      <c r="AI6" s="61">
        <v>0.25</v>
      </c>
      <c r="AJ6" s="28"/>
      <c r="AK6" s="28"/>
      <c r="AL6" s="28"/>
      <c r="AM6" s="28"/>
    </row>
    <row r="7" spans="1:50" s="121" customFormat="1" ht="18" customHeight="1">
      <c r="B7" s="29" t="s">
        <v>26</v>
      </c>
      <c r="D7" s="361">
        <v>16</v>
      </c>
      <c r="E7" s="361"/>
      <c r="F7" s="27"/>
      <c r="G7" s="124" t="s">
        <v>21</v>
      </c>
      <c r="H7" s="124"/>
      <c r="I7" s="62">
        <f>(E5-(3*I9))+(0.866025*I5)</f>
        <v>8.8349354810778067</v>
      </c>
      <c r="J7" s="124" t="s">
        <v>22</v>
      </c>
      <c r="K7" s="124"/>
      <c r="N7" s="123"/>
      <c r="O7" s="123"/>
      <c r="P7" s="32"/>
      <c r="Q7" s="33">
        <v>0.25</v>
      </c>
      <c r="R7" s="34">
        <v>1.35</v>
      </c>
      <c r="AD7" s="125"/>
      <c r="AH7" s="25"/>
      <c r="AI7" s="61">
        <v>0.28000000000000003</v>
      </c>
      <c r="AJ7" s="28"/>
      <c r="AK7" s="28"/>
      <c r="AL7" s="28"/>
      <c r="AM7" s="28"/>
    </row>
    <row r="8" spans="1:50" ht="18" customHeight="1">
      <c r="B8" s="54"/>
      <c r="C8" s="54"/>
      <c r="D8" s="54"/>
      <c r="E8" s="54"/>
      <c r="F8" s="54"/>
      <c r="G8" s="464" t="s">
        <v>24</v>
      </c>
      <c r="H8" s="464"/>
      <c r="I8" s="122">
        <v>1.35</v>
      </c>
      <c r="J8" s="120" t="s">
        <v>22</v>
      </c>
      <c r="K8" s="120"/>
      <c r="N8" s="54"/>
      <c r="O8" s="54"/>
      <c r="P8" s="54"/>
      <c r="Q8" s="33">
        <v>0.28000000000000003</v>
      </c>
      <c r="R8" s="34">
        <v>1.65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5"/>
      <c r="AE8" s="55"/>
      <c r="AF8" s="55"/>
      <c r="AG8" s="55"/>
      <c r="AH8" s="56"/>
      <c r="AI8" s="56"/>
      <c r="AJ8" s="57"/>
      <c r="AK8" s="57"/>
      <c r="AO8" s="58"/>
    </row>
    <row r="9" spans="1:50" ht="18" customHeight="1">
      <c r="B9" s="54"/>
      <c r="C9" s="54"/>
      <c r="D9" s="54"/>
      <c r="E9" s="54"/>
      <c r="F9" s="54"/>
      <c r="G9" s="463" t="s">
        <v>27</v>
      </c>
      <c r="H9" s="463"/>
      <c r="I9" s="119">
        <f>1/(COS(([4]Data!H20/2)*PI()/180))*(I5/2)</f>
        <v>1.4433756729740643</v>
      </c>
      <c r="J9" s="120" t="s">
        <v>22</v>
      </c>
      <c r="K9" s="120"/>
      <c r="N9" s="54"/>
      <c r="O9" s="54"/>
      <c r="P9" s="54"/>
      <c r="Q9" s="33">
        <v>0.45500000000000002</v>
      </c>
      <c r="R9" s="34">
        <v>2.0499999999999998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5"/>
      <c r="AF9" s="55"/>
      <c r="AG9" s="55"/>
      <c r="AH9" s="56"/>
      <c r="AI9" s="56"/>
      <c r="AJ9" s="57"/>
      <c r="AK9" s="57"/>
      <c r="AO9" s="58"/>
    </row>
    <row r="10" spans="1:50" ht="18" customHeight="1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4">
        <v>0.53</v>
      </c>
      <c r="R10" s="34">
        <v>2.5499999999999998</v>
      </c>
      <c r="S10" s="52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7"/>
      <c r="AE10" s="57"/>
      <c r="AF10" s="57"/>
      <c r="AG10" s="57"/>
      <c r="AL10" s="57" t="s">
        <v>44</v>
      </c>
    </row>
    <row r="11" spans="1:50" ht="18" customHeight="1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7" t="s">
        <v>44</v>
      </c>
      <c r="P11" s="54"/>
      <c r="Q11" s="39">
        <v>0.62</v>
      </c>
      <c r="R11" s="34">
        <v>3.2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7"/>
      <c r="AE11" s="57"/>
      <c r="AF11" s="57"/>
      <c r="AG11" s="57"/>
      <c r="AL11" s="57"/>
    </row>
    <row r="12" spans="1:50" ht="21.75">
      <c r="B12" s="465" t="s">
        <v>45</v>
      </c>
      <c r="C12" s="467" t="s">
        <v>46</v>
      </c>
      <c r="D12" s="468"/>
      <c r="E12" s="469"/>
      <c r="F12" s="473" t="s">
        <v>47</v>
      </c>
      <c r="G12" s="474"/>
      <c r="H12" s="475" t="s">
        <v>48</v>
      </c>
      <c r="I12" s="476"/>
      <c r="J12" s="477" t="s">
        <v>49</v>
      </c>
      <c r="K12" s="478"/>
      <c r="L12" s="481" t="s">
        <v>50</v>
      </c>
      <c r="M12" s="483" t="s">
        <v>51</v>
      </c>
      <c r="N12" s="484"/>
      <c r="O12" s="485" t="s">
        <v>52</v>
      </c>
      <c r="Q12" s="39">
        <v>0.72499999999999998</v>
      </c>
      <c r="R12" s="33">
        <v>4</v>
      </c>
      <c r="AV12" s="66"/>
      <c r="AW12" s="66"/>
      <c r="AX12" s="66"/>
    </row>
    <row r="13" spans="1:50" ht="18" customHeight="1">
      <c r="B13" s="466"/>
      <c r="C13" s="470"/>
      <c r="D13" s="471"/>
      <c r="E13" s="472"/>
      <c r="F13" s="487" t="s">
        <v>53</v>
      </c>
      <c r="G13" s="488"/>
      <c r="H13" s="489" t="s">
        <v>54</v>
      </c>
      <c r="I13" s="490"/>
      <c r="J13" s="479"/>
      <c r="K13" s="480"/>
      <c r="L13" s="482"/>
      <c r="M13" s="491" t="s">
        <v>53</v>
      </c>
      <c r="N13" s="492"/>
      <c r="O13" s="486"/>
      <c r="Q13" s="34">
        <v>0.89500000000000002</v>
      </c>
      <c r="R13" s="40"/>
      <c r="AV13" s="66"/>
      <c r="AW13" s="66"/>
      <c r="AX13" s="66"/>
    </row>
    <row r="14" spans="1:50" ht="18" customHeight="1">
      <c r="B14" s="67" t="s">
        <v>55</v>
      </c>
      <c r="C14" s="495" t="s">
        <v>33</v>
      </c>
      <c r="D14" s="496"/>
      <c r="E14" s="497"/>
      <c r="F14" s="504">
        <f>[4]Data!AF26</f>
        <v>1.9999999999242846E-5</v>
      </c>
      <c r="G14" s="505"/>
      <c r="H14" s="500" t="s">
        <v>56</v>
      </c>
      <c r="I14" s="501"/>
      <c r="J14" s="500">
        <v>1</v>
      </c>
      <c r="K14" s="501"/>
      <c r="L14" s="67">
        <v>1</v>
      </c>
      <c r="M14" s="502">
        <f>F14/J14</f>
        <v>1.9999999999242846E-5</v>
      </c>
      <c r="N14" s="503"/>
      <c r="O14" s="68">
        <v>2</v>
      </c>
      <c r="Q14" s="7"/>
      <c r="R14" s="506" t="s">
        <v>149</v>
      </c>
      <c r="S14" s="493" t="s">
        <v>150</v>
      </c>
      <c r="T14" s="494"/>
      <c r="U14" s="7"/>
      <c r="V14" s="7"/>
      <c r="W14" s="7"/>
      <c r="X14" s="7"/>
      <c r="AO14" s="69"/>
      <c r="AV14" s="66"/>
      <c r="AW14" s="66"/>
      <c r="AX14" s="66"/>
    </row>
    <row r="15" spans="1:50" ht="18" customHeight="1">
      <c r="B15" s="70" t="s">
        <v>57</v>
      </c>
      <c r="C15" s="495" t="s">
        <v>58</v>
      </c>
      <c r="D15" s="496"/>
      <c r="E15" s="497"/>
      <c r="F15" s="498">
        <f>'[4]Cert of STD'!X6</f>
        <v>3.7033106020840359E-4</v>
      </c>
      <c r="G15" s="499"/>
      <c r="H15" s="500" t="s">
        <v>56</v>
      </c>
      <c r="I15" s="501"/>
      <c r="J15" s="500">
        <v>2</v>
      </c>
      <c r="K15" s="501"/>
      <c r="L15" s="67">
        <v>1</v>
      </c>
      <c r="M15" s="502">
        <f>F15/2</f>
        <v>1.8516553010420179E-4</v>
      </c>
      <c r="N15" s="503"/>
      <c r="O15" s="71"/>
      <c r="Q15" s="7"/>
      <c r="R15" s="506"/>
      <c r="S15" s="494"/>
      <c r="T15" s="494"/>
      <c r="U15" s="7"/>
      <c r="V15" s="7"/>
      <c r="W15" s="7"/>
      <c r="X15" s="7"/>
      <c r="AO15" s="69"/>
      <c r="AV15" s="66"/>
      <c r="AW15" s="66"/>
      <c r="AX15" s="66"/>
    </row>
    <row r="16" spans="1:50" ht="18" customHeight="1">
      <c r="A16" s="66"/>
      <c r="B16" s="70" t="s">
        <v>59</v>
      </c>
      <c r="C16" s="495" t="s">
        <v>60</v>
      </c>
      <c r="D16" s="496"/>
      <c r="E16" s="497"/>
      <c r="F16" s="498">
        <f>'[4]Cert of STD'!F13</f>
        <v>2.3000000000000001E-4</v>
      </c>
      <c r="G16" s="499"/>
      <c r="H16" s="500" t="s">
        <v>56</v>
      </c>
      <c r="I16" s="501"/>
      <c r="J16" s="500">
        <v>2</v>
      </c>
      <c r="K16" s="501"/>
      <c r="L16" s="67">
        <v>1</v>
      </c>
      <c r="M16" s="502">
        <f>F16/J16</f>
        <v>1.15E-4</v>
      </c>
      <c r="N16" s="503"/>
      <c r="O16" s="71"/>
      <c r="Q16" s="7"/>
      <c r="R16" s="7"/>
      <c r="S16" s="493" t="s">
        <v>151</v>
      </c>
      <c r="T16" s="494" t="s">
        <v>152</v>
      </c>
      <c r="U16" s="494"/>
      <c r="V16" s="494"/>
      <c r="W16" s="7"/>
      <c r="X16" s="7"/>
      <c r="AO16" s="69"/>
      <c r="AV16" s="66"/>
      <c r="AW16" s="66"/>
      <c r="AX16" s="66"/>
    </row>
    <row r="17" spans="1:50" ht="18" customHeight="1">
      <c r="A17" s="66"/>
      <c r="B17" s="70" t="s">
        <v>61</v>
      </c>
      <c r="C17" s="495" t="s">
        <v>62</v>
      </c>
      <c r="D17" s="496"/>
      <c r="E17" s="497"/>
      <c r="F17" s="507">
        <f>(V18*1000)*2</f>
        <v>4.6890227171018462E-4</v>
      </c>
      <c r="G17" s="508"/>
      <c r="H17" s="500" t="s">
        <v>63</v>
      </c>
      <c r="I17" s="501"/>
      <c r="J17" s="509" t="s">
        <v>64</v>
      </c>
      <c r="K17" s="510"/>
      <c r="L17" s="67">
        <v>1</v>
      </c>
      <c r="M17" s="511">
        <f>F17/SQRT(3)</f>
        <v>2.7072085279550214E-4</v>
      </c>
      <c r="N17" s="512"/>
      <c r="O17" s="71"/>
      <c r="Q17" s="7"/>
      <c r="R17" s="7"/>
      <c r="S17" s="494"/>
      <c r="T17" s="494"/>
      <c r="U17" s="494"/>
      <c r="V17" s="494"/>
      <c r="W17" s="7"/>
      <c r="X17" s="7"/>
      <c r="AO17" s="69"/>
      <c r="AV17" s="66"/>
      <c r="AW17" s="66"/>
      <c r="AX17" s="66"/>
    </row>
    <row r="18" spans="1:50" s="66" customFormat="1" ht="18" customHeight="1">
      <c r="B18" s="70" t="s">
        <v>67</v>
      </c>
      <c r="C18" s="495" t="s">
        <v>153</v>
      </c>
      <c r="D18" s="496"/>
      <c r="E18" s="497"/>
      <c r="F18" s="540">
        <v>1.0000000000000001E-5</v>
      </c>
      <c r="G18" s="541"/>
      <c r="H18" s="500" t="s">
        <v>63</v>
      </c>
      <c r="I18" s="501"/>
      <c r="J18" s="509" t="s">
        <v>69</v>
      </c>
      <c r="K18" s="510"/>
      <c r="L18" s="67">
        <v>1</v>
      </c>
      <c r="M18" s="502">
        <f>(F18/2)/SQRT(3)</f>
        <v>2.8867513459481293E-6</v>
      </c>
      <c r="N18" s="503"/>
      <c r="O18" s="71"/>
      <c r="Q18" s="7"/>
      <c r="R18" s="8" t="s">
        <v>154</v>
      </c>
      <c r="S18" s="255">
        <f>((((9*V20^2)/(8*(T21/1000)))*(((1-W22^2)/(4*10^11))+((1-U22^2)/(2*10^11)))^2)^(1/3))</f>
        <v>1.1722556792754613E-7</v>
      </c>
      <c r="T18" s="8"/>
      <c r="U18" s="256" t="s">
        <v>155</v>
      </c>
      <c r="V18" s="257">
        <f>(SIN((60/2)*PI()/180)^(-5/3))*(0.5^(2/3))*S18</f>
        <v>2.3445113585509231E-7</v>
      </c>
      <c r="W18" s="7"/>
      <c r="X18" s="7"/>
      <c r="AO18" s="72"/>
    </row>
    <row r="19" spans="1:50" s="66" customFormat="1" ht="18" customHeight="1">
      <c r="B19" s="70" t="s">
        <v>72</v>
      </c>
      <c r="C19" s="495" t="s">
        <v>73</v>
      </c>
      <c r="D19" s="496"/>
      <c r="E19" s="497"/>
      <c r="F19" s="498">
        <f>(COS((D6/2)*PI()/180)/(SIN((D6/2)*PI()/180))^2)*((I8/1000)-(I9/1000))</f>
        <v>-3.2346281956403068E-4</v>
      </c>
      <c r="G19" s="499"/>
      <c r="H19" s="500" t="s">
        <v>63</v>
      </c>
      <c r="I19" s="501"/>
      <c r="J19" s="509" t="s">
        <v>64</v>
      </c>
      <c r="K19" s="510"/>
      <c r="L19" s="67">
        <v>1</v>
      </c>
      <c r="M19" s="511">
        <f>F19*((2*3.14)/360)*(15/60)*(1/SQRT(3))*1000</f>
        <v>-8.1444336982933814E-4</v>
      </c>
      <c r="N19" s="512"/>
      <c r="O19" s="71"/>
      <c r="Q19" s="7"/>
      <c r="R19" s="7"/>
      <c r="S19" s="8"/>
      <c r="T19" s="8"/>
      <c r="U19" s="8"/>
      <c r="V19" s="8"/>
      <c r="W19" s="7"/>
      <c r="X19" s="7"/>
      <c r="AO19" s="72"/>
      <c r="AV19" s="51"/>
      <c r="AW19" s="51"/>
      <c r="AX19" s="51"/>
    </row>
    <row r="20" spans="1:50" s="66" customFormat="1" ht="18" customHeight="1">
      <c r="B20" s="70" t="s">
        <v>74</v>
      </c>
      <c r="C20" s="495" t="s">
        <v>75</v>
      </c>
      <c r="D20" s="496"/>
      <c r="E20" s="497"/>
      <c r="F20" s="517">
        <v>2.0000000000000002E-5</v>
      </c>
      <c r="G20" s="518"/>
      <c r="H20" s="500" t="s">
        <v>63</v>
      </c>
      <c r="I20" s="501"/>
      <c r="J20" s="509" t="s">
        <v>64</v>
      </c>
      <c r="K20" s="510"/>
      <c r="L20" s="67">
        <v>1</v>
      </c>
      <c r="M20" s="519">
        <f>F20/SQRT(3)</f>
        <v>1.1547005383792517E-5</v>
      </c>
      <c r="N20" s="520"/>
      <c r="O20" s="71"/>
      <c r="Q20" s="258" t="s">
        <v>156</v>
      </c>
      <c r="R20" s="7" t="s">
        <v>157</v>
      </c>
      <c r="S20" s="7"/>
      <c r="T20" s="7"/>
      <c r="U20" s="7"/>
      <c r="V20" s="7">
        <v>0.2</v>
      </c>
      <c r="W20" s="7"/>
      <c r="X20" s="259"/>
      <c r="AO20" s="72"/>
      <c r="AV20" s="51"/>
      <c r="AW20" s="51"/>
      <c r="AX20" s="51"/>
    </row>
    <row r="21" spans="1:50" s="66" customFormat="1" ht="18" customHeight="1">
      <c r="B21" s="70" t="s">
        <v>76</v>
      </c>
      <c r="C21" s="495" t="s">
        <v>77</v>
      </c>
      <c r="D21" s="496"/>
      <c r="E21" s="497"/>
      <c r="F21" s="498">
        <f>((I5)*(11.5*10^-6)*1)</f>
        <v>2.8750000000000001E-5</v>
      </c>
      <c r="G21" s="499"/>
      <c r="H21" s="500" t="s">
        <v>63</v>
      </c>
      <c r="I21" s="501"/>
      <c r="J21" s="509" t="s">
        <v>64</v>
      </c>
      <c r="K21" s="510"/>
      <c r="L21" s="67">
        <v>1</v>
      </c>
      <c r="M21" s="515">
        <f>F21/SQRT(3)</f>
        <v>1.6598820239201741E-5</v>
      </c>
      <c r="N21" s="516"/>
      <c r="O21" s="71"/>
      <c r="Q21" s="260" t="s">
        <v>158</v>
      </c>
      <c r="R21" s="7" t="s">
        <v>159</v>
      </c>
      <c r="S21" s="7"/>
      <c r="T21" s="7">
        <f>I8</f>
        <v>1.35</v>
      </c>
      <c r="U21" s="7"/>
      <c r="V21" s="7"/>
      <c r="W21" s="7"/>
      <c r="X21" s="7"/>
      <c r="AO21" s="72"/>
      <c r="AV21" s="51"/>
      <c r="AW21" s="51"/>
      <c r="AX21" s="51"/>
    </row>
    <row r="22" spans="1:50" s="66" customFormat="1" ht="18" customHeight="1">
      <c r="B22" s="70" t="s">
        <v>78</v>
      </c>
      <c r="C22" s="495" t="s">
        <v>79</v>
      </c>
      <c r="D22" s="496"/>
      <c r="E22" s="497"/>
      <c r="F22" s="500"/>
      <c r="G22" s="501"/>
      <c r="H22" s="500" t="s">
        <v>56</v>
      </c>
      <c r="I22" s="501"/>
      <c r="J22" s="521"/>
      <c r="K22" s="522"/>
      <c r="L22" s="73"/>
      <c r="M22" s="511">
        <f>SQRT(M14^2+M15^2+M16^2+M17^2+M18^2+M19^2+M20^2+M21^2)</f>
        <v>8.8596627691805052E-4</v>
      </c>
      <c r="N22" s="512"/>
      <c r="O22" s="71">
        <f>(M22^4)/(((IF(M14&lt;=0,0.001,M14)^4)/9))</f>
        <v>34657026.017665423</v>
      </c>
      <c r="Q22" s="258" t="s">
        <v>160</v>
      </c>
      <c r="R22" s="7" t="s">
        <v>161</v>
      </c>
      <c r="S22" s="7"/>
      <c r="T22" s="258" t="s">
        <v>162</v>
      </c>
      <c r="U22" s="261">
        <v>0.28000000000000003</v>
      </c>
      <c r="V22" s="258" t="s">
        <v>163</v>
      </c>
      <c r="W22" s="261">
        <v>0.25</v>
      </c>
      <c r="X22" s="13"/>
      <c r="AO22" s="72"/>
      <c r="AV22" s="51"/>
      <c r="AW22" s="51"/>
      <c r="AX22" s="51"/>
    </row>
    <row r="23" spans="1:50" s="66" customFormat="1" ht="18" customHeight="1">
      <c r="B23" s="70" t="s">
        <v>80</v>
      </c>
      <c r="C23" s="495" t="s">
        <v>81</v>
      </c>
      <c r="D23" s="496"/>
      <c r="E23" s="497"/>
      <c r="F23" s="500"/>
      <c r="G23" s="501"/>
      <c r="H23" s="500" t="s">
        <v>82</v>
      </c>
      <c r="I23" s="501"/>
      <c r="J23" s="521"/>
      <c r="K23" s="522"/>
      <c r="L23" s="73"/>
      <c r="M23" s="523">
        <f>M22*O23*1000</f>
        <v>1.771932553836101</v>
      </c>
      <c r="N23" s="524"/>
      <c r="O23" s="74" t="str">
        <f>IF(O22&gt;0,"2.00",TINV(0.0455,O22))</f>
        <v>2.00</v>
      </c>
      <c r="Q23" s="262" t="s">
        <v>164</v>
      </c>
      <c r="R23" s="263" t="s">
        <v>165</v>
      </c>
      <c r="S23" s="7"/>
      <c r="T23" s="258" t="s">
        <v>162</v>
      </c>
      <c r="U23" s="7" t="s">
        <v>166</v>
      </c>
      <c r="V23" s="258" t="s">
        <v>163</v>
      </c>
      <c r="W23" s="7" t="s">
        <v>167</v>
      </c>
      <c r="X23" s="7" t="s">
        <v>168</v>
      </c>
      <c r="AO23" s="72"/>
      <c r="AV23" s="51"/>
      <c r="AW23" s="51"/>
      <c r="AX23" s="51"/>
    </row>
    <row r="24" spans="1:50" s="66" customFormat="1" ht="18" hidden="1" customHeight="1">
      <c r="B24" s="75">
        <v>25</v>
      </c>
      <c r="C24" s="76">
        <v>0</v>
      </c>
      <c r="D24" s="77">
        <f t="shared" ref="D24:D39" si="0">C24/1</f>
        <v>0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8">
        <f>'[4]Cert of STD'!J18</f>
        <v>1.2</v>
      </c>
      <c r="Q24" s="7"/>
      <c r="R24" s="7"/>
      <c r="S24" s="7"/>
      <c r="T24" s="7"/>
      <c r="U24" s="7"/>
      <c r="V24" s="7"/>
      <c r="W24" s="7"/>
      <c r="X24" s="7"/>
      <c r="Y24" s="81" t="e">
        <f>(#REF!/SQRT(3))</f>
        <v>#REF!</v>
      </c>
      <c r="Z24" s="81">
        <v>1</v>
      </c>
      <c r="AA24" s="83">
        <f t="shared" ref="AA24:AA39" si="1">Z24/SQRT(3)</f>
        <v>0.57735026918962584</v>
      </c>
      <c r="AB24" s="77" t="e">
        <f>#REF!</f>
        <v>#REF!</v>
      </c>
      <c r="AC24" s="84" t="e">
        <f t="shared" ref="AC24:AC39" si="2">AB24*((2*3.14)/360)*(15/60)*(1/SQRT(3))*10^6</f>
        <v>#REF!</v>
      </c>
      <c r="AD24" s="83" t="e">
        <f>#REF!</f>
        <v>#REF!</v>
      </c>
      <c r="AE24" s="83" t="e">
        <f t="shared" ref="AE24:AE39" si="3">AD24/SQRT(3)</f>
        <v>#REF!</v>
      </c>
      <c r="AF24" s="85">
        <f>((0.7)*(11.5*10^-6)*1)</f>
        <v>8.0499999999999992E-6</v>
      </c>
      <c r="AG24" s="77">
        <f t="shared" ref="AG24:AG39" si="4">AF24/SQRT(3)</f>
        <v>4.647669666976487E-6</v>
      </c>
      <c r="AH24" s="77" t="e">
        <f>SQRT(D24^2+#REF!^2+#REF!^2+#REF!^2+#REF!^2+Y24^2+AA24^2+AC24^2+AE24^2+AG24^2)</f>
        <v>#REF!</v>
      </c>
      <c r="AI24" s="86">
        <f t="shared" ref="AI24:AI39" si="5">D24/1</f>
        <v>0</v>
      </c>
      <c r="AJ24" s="71" t="e">
        <f t="shared" ref="AJ24:AJ39" si="6">(AH24^4)/(((IF(AI24&lt;=0,0.001,AI24)^4)/9))</f>
        <v>#REF!</v>
      </c>
      <c r="AK24" s="74" t="e">
        <f t="shared" ref="AK24:AK39" si="7">IF(AJ24&gt;0,"2.00",TINV(0.0455,AJ24))</f>
        <v>#REF!</v>
      </c>
      <c r="AL24" s="87" t="e">
        <f t="shared" ref="AL24:AL39" si="8">AH24*2</f>
        <v>#REF!</v>
      </c>
      <c r="AO24" s="72"/>
      <c r="AV24" s="51"/>
      <c r="AW24" s="51"/>
      <c r="AX24" s="51"/>
    </row>
    <row r="25" spans="1:50" s="66" customFormat="1" ht="18" hidden="1" customHeight="1">
      <c r="B25" s="75">
        <v>30</v>
      </c>
      <c r="C25" s="76">
        <v>0</v>
      </c>
      <c r="D25" s="77">
        <f t="shared" si="0"/>
        <v>0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>
        <f>'[4]Cert of STD'!J20</f>
        <v>1.4</v>
      </c>
      <c r="Q25" s="79">
        <f t="shared" ref="Q25:Q39" si="9">P25/2</f>
        <v>0.7</v>
      </c>
      <c r="R25" s="78">
        <f>'[4]Cert of STD'!D14</f>
        <v>0.27</v>
      </c>
      <c r="S25" s="79">
        <f t="shared" ref="S25:S39" si="10">R25/2</f>
        <v>0.13500000000000001</v>
      </c>
      <c r="T25" s="80" t="e">
        <f>#REF!*2</f>
        <v>#REF!</v>
      </c>
      <c r="U25" s="81" t="e">
        <f t="shared" ref="U25:U39" si="11">T25/SQRT(3)</f>
        <v>#REF!</v>
      </c>
      <c r="V25" s="82">
        <f>(1/16)*[4]Data!E29</f>
        <v>0</v>
      </c>
      <c r="W25" s="81">
        <f t="shared" ref="W25:Y39" si="12">(V25/SQRT(3))</f>
        <v>0</v>
      </c>
      <c r="X25" s="76" t="e">
        <f>#REF!</f>
        <v>#REF!</v>
      </c>
      <c r="Y25" s="81" t="e">
        <f t="shared" si="12"/>
        <v>#REF!</v>
      </c>
      <c r="Z25" s="81">
        <v>1</v>
      </c>
      <c r="AA25" s="83">
        <f t="shared" si="1"/>
        <v>0.57735026918962584</v>
      </c>
      <c r="AB25" s="77" t="e">
        <f t="shared" ref="AB25:AB29" si="13">AB24</f>
        <v>#REF!</v>
      </c>
      <c r="AC25" s="84" t="e">
        <f t="shared" si="2"/>
        <v>#REF!</v>
      </c>
      <c r="AD25" s="83" t="e">
        <f t="shared" ref="AD25:AD28" si="14">AD24</f>
        <v>#REF!</v>
      </c>
      <c r="AE25" s="83" t="e">
        <f t="shared" si="3"/>
        <v>#REF!</v>
      </c>
      <c r="AF25" s="85">
        <f>((0.75)*(11.5*10^-6)*1)</f>
        <v>8.6249999999999996E-6</v>
      </c>
      <c r="AG25" s="77">
        <f t="shared" si="4"/>
        <v>4.9796460717605226E-6</v>
      </c>
      <c r="AH25" s="77" t="e">
        <f t="shared" ref="AH25:AH39" si="15">SQRT(D25^2+Q25^2+S25^2+U25^2+W25^2+Y25^2+AA25^2+AC25^2+AE25^2+AG25^2)</f>
        <v>#REF!</v>
      </c>
      <c r="AI25" s="86">
        <f t="shared" si="5"/>
        <v>0</v>
      </c>
      <c r="AJ25" s="71" t="e">
        <f t="shared" si="6"/>
        <v>#REF!</v>
      </c>
      <c r="AK25" s="74" t="e">
        <f t="shared" si="7"/>
        <v>#REF!</v>
      </c>
      <c r="AL25" s="87" t="e">
        <f t="shared" si="8"/>
        <v>#REF!</v>
      </c>
      <c r="AO25" s="72"/>
      <c r="AV25" s="51"/>
      <c r="AW25" s="51"/>
      <c r="AX25" s="51"/>
    </row>
    <row r="26" spans="1:50" s="66" customFormat="1" ht="18" hidden="1" customHeight="1">
      <c r="B26" s="75">
        <v>75</v>
      </c>
      <c r="C26" s="76">
        <v>0</v>
      </c>
      <c r="D26" s="77">
        <f t="shared" si="0"/>
        <v>0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>
        <f>'[4]Cert of STD'!J21</f>
        <v>2.8</v>
      </c>
      <c r="Q26" s="79">
        <f t="shared" si="9"/>
        <v>1.4</v>
      </c>
      <c r="R26" s="78">
        <f>'[4]Cert of STD'!D19</f>
        <v>0.39</v>
      </c>
      <c r="S26" s="79">
        <f t="shared" si="10"/>
        <v>0.19500000000000001</v>
      </c>
      <c r="T26" s="80" t="e">
        <f>#REF!*2</f>
        <v>#REF!</v>
      </c>
      <c r="U26" s="81" t="e">
        <f t="shared" si="11"/>
        <v>#REF!</v>
      </c>
      <c r="V26" s="82">
        <f>(1/16)*[4]Data!E30</f>
        <v>0</v>
      </c>
      <c r="W26" s="81">
        <f t="shared" si="12"/>
        <v>0</v>
      </c>
      <c r="X26" s="76" t="e">
        <f t="shared" ref="X26:X29" si="16">X25</f>
        <v>#REF!</v>
      </c>
      <c r="Y26" s="81" t="e">
        <f t="shared" si="12"/>
        <v>#REF!</v>
      </c>
      <c r="Z26" s="81">
        <v>1</v>
      </c>
      <c r="AA26" s="83">
        <f t="shared" si="1"/>
        <v>0.57735026918962584</v>
      </c>
      <c r="AB26" s="77" t="e">
        <f t="shared" si="13"/>
        <v>#REF!</v>
      </c>
      <c r="AC26" s="84" t="e">
        <f t="shared" si="2"/>
        <v>#REF!</v>
      </c>
      <c r="AD26" s="83" t="e">
        <f t="shared" si="14"/>
        <v>#REF!</v>
      </c>
      <c r="AE26" s="83" t="e">
        <f t="shared" si="3"/>
        <v>#REF!</v>
      </c>
      <c r="AF26" s="85">
        <f>((0.8)*(11.5*10^-6)*1)</f>
        <v>9.2E-6</v>
      </c>
      <c r="AG26" s="77">
        <f t="shared" si="4"/>
        <v>5.3116224765445574E-6</v>
      </c>
      <c r="AH26" s="77" t="e">
        <f t="shared" si="15"/>
        <v>#REF!</v>
      </c>
      <c r="AI26" s="86">
        <f t="shared" si="5"/>
        <v>0</v>
      </c>
      <c r="AJ26" s="71" t="e">
        <f t="shared" si="6"/>
        <v>#REF!</v>
      </c>
      <c r="AK26" s="74" t="e">
        <f t="shared" si="7"/>
        <v>#REF!</v>
      </c>
      <c r="AL26" s="87" t="e">
        <f t="shared" si="8"/>
        <v>#REF!</v>
      </c>
      <c r="AO26" s="72"/>
      <c r="AV26" s="51"/>
      <c r="AW26" s="51"/>
      <c r="AX26" s="51"/>
    </row>
    <row r="27" spans="1:50" s="66" customFormat="1" ht="18" hidden="1" customHeight="1">
      <c r="B27" s="75">
        <v>90</v>
      </c>
      <c r="C27" s="76">
        <v>0</v>
      </c>
      <c r="D27" s="77">
        <f t="shared" si="0"/>
        <v>0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8">
        <f t="shared" ref="P27:P29" si="17">P26</f>
        <v>2.8</v>
      </c>
      <c r="Q27" s="79">
        <f t="shared" si="9"/>
        <v>1.4</v>
      </c>
      <c r="R27" s="78">
        <f>'[4]Cert of STD'!D20</f>
        <v>0.39</v>
      </c>
      <c r="S27" s="79">
        <f t="shared" si="10"/>
        <v>0.19500000000000001</v>
      </c>
      <c r="T27" s="80" t="e">
        <f>#REF!*2</f>
        <v>#REF!</v>
      </c>
      <c r="U27" s="81" t="e">
        <f t="shared" si="11"/>
        <v>#REF!</v>
      </c>
      <c r="V27" s="82">
        <f>(1/16)*[4]Data!E31</f>
        <v>0</v>
      </c>
      <c r="W27" s="81">
        <f t="shared" si="12"/>
        <v>0</v>
      </c>
      <c r="X27" s="76" t="e">
        <f t="shared" si="16"/>
        <v>#REF!</v>
      </c>
      <c r="Y27" s="81" t="e">
        <f t="shared" si="12"/>
        <v>#REF!</v>
      </c>
      <c r="Z27" s="81">
        <v>1</v>
      </c>
      <c r="AA27" s="83">
        <f t="shared" si="1"/>
        <v>0.57735026918962584</v>
      </c>
      <c r="AB27" s="77" t="e">
        <f t="shared" si="13"/>
        <v>#REF!</v>
      </c>
      <c r="AC27" s="84" t="e">
        <f t="shared" si="2"/>
        <v>#REF!</v>
      </c>
      <c r="AD27" s="83" t="e">
        <f t="shared" si="14"/>
        <v>#REF!</v>
      </c>
      <c r="AE27" s="83" t="e">
        <f t="shared" si="3"/>
        <v>#REF!</v>
      </c>
      <c r="AF27" s="85">
        <f>((1)*(11.5*10^-6)*1)</f>
        <v>1.15E-5</v>
      </c>
      <c r="AG27" s="77">
        <f t="shared" si="4"/>
        <v>6.6395280956806965E-6</v>
      </c>
      <c r="AH27" s="77" t="e">
        <f t="shared" si="15"/>
        <v>#REF!</v>
      </c>
      <c r="AI27" s="86">
        <f t="shared" si="5"/>
        <v>0</v>
      </c>
      <c r="AJ27" s="71" t="e">
        <f t="shared" si="6"/>
        <v>#REF!</v>
      </c>
      <c r="AK27" s="74" t="e">
        <f t="shared" si="7"/>
        <v>#REF!</v>
      </c>
      <c r="AL27" s="87" t="e">
        <f t="shared" si="8"/>
        <v>#REF!</v>
      </c>
      <c r="AV27" s="51"/>
      <c r="AW27" s="51"/>
      <c r="AX27" s="51"/>
    </row>
    <row r="28" spans="1:50" s="66" customFormat="1" ht="18" hidden="1" customHeight="1">
      <c r="B28" s="75">
        <v>100</v>
      </c>
      <c r="C28" s="76">
        <v>0</v>
      </c>
      <c r="D28" s="77">
        <f t="shared" si="0"/>
        <v>0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8">
        <f t="shared" si="17"/>
        <v>2.8</v>
      </c>
      <c r="Q28" s="79">
        <f t="shared" si="9"/>
        <v>1.4</v>
      </c>
      <c r="R28" s="78">
        <f>'[4]Cert of STD'!D21</f>
        <v>0.39</v>
      </c>
      <c r="S28" s="79">
        <f t="shared" si="10"/>
        <v>0.19500000000000001</v>
      </c>
      <c r="T28" s="80" t="e">
        <f>#REF!*2</f>
        <v>#REF!</v>
      </c>
      <c r="U28" s="81" t="e">
        <f t="shared" si="11"/>
        <v>#REF!</v>
      </c>
      <c r="V28" s="82">
        <f>(1/16)*[4]Data!E32</f>
        <v>0</v>
      </c>
      <c r="W28" s="81">
        <f t="shared" si="12"/>
        <v>0</v>
      </c>
      <c r="X28" s="76" t="e">
        <f t="shared" si="16"/>
        <v>#REF!</v>
      </c>
      <c r="Y28" s="81" t="e">
        <f t="shared" si="12"/>
        <v>#REF!</v>
      </c>
      <c r="Z28" s="81">
        <v>1</v>
      </c>
      <c r="AA28" s="83">
        <f t="shared" si="1"/>
        <v>0.57735026918962584</v>
      </c>
      <c r="AB28" s="77" t="e">
        <f t="shared" si="13"/>
        <v>#REF!</v>
      </c>
      <c r="AC28" s="84" t="e">
        <f t="shared" si="2"/>
        <v>#REF!</v>
      </c>
      <c r="AD28" s="83" t="e">
        <f t="shared" si="14"/>
        <v>#REF!</v>
      </c>
      <c r="AE28" s="83" t="e">
        <f t="shared" si="3"/>
        <v>#REF!</v>
      </c>
      <c r="AF28" s="85">
        <f>((1.25)*(11.5*10^-6)*1)</f>
        <v>1.4375E-5</v>
      </c>
      <c r="AG28" s="77">
        <f t="shared" si="4"/>
        <v>8.2994101196008704E-6</v>
      </c>
      <c r="AH28" s="77" t="e">
        <f t="shared" si="15"/>
        <v>#REF!</v>
      </c>
      <c r="AI28" s="86">
        <f t="shared" si="5"/>
        <v>0</v>
      </c>
      <c r="AJ28" s="71" t="e">
        <f t="shared" si="6"/>
        <v>#REF!</v>
      </c>
      <c r="AK28" s="74" t="e">
        <f t="shared" si="7"/>
        <v>#REF!</v>
      </c>
      <c r="AL28" s="87" t="e">
        <f t="shared" si="8"/>
        <v>#REF!</v>
      </c>
      <c r="AV28" s="51"/>
      <c r="AW28" s="51"/>
      <c r="AX28" s="51"/>
    </row>
    <row r="29" spans="1:50" s="66" customFormat="1" ht="18" hidden="1" customHeight="1">
      <c r="A29" s="51"/>
      <c r="B29" s="75">
        <v>125</v>
      </c>
      <c r="C29" s="76">
        <v>0</v>
      </c>
      <c r="D29" s="77">
        <f t="shared" si="0"/>
        <v>0</v>
      </c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8">
        <f t="shared" si="17"/>
        <v>2.8</v>
      </c>
      <c r="Q29" s="79">
        <f t="shared" si="9"/>
        <v>1.4</v>
      </c>
      <c r="R29" s="78">
        <f>'[4]Cert of STD'!D21</f>
        <v>0.39</v>
      </c>
      <c r="S29" s="79">
        <f t="shared" si="10"/>
        <v>0.19500000000000001</v>
      </c>
      <c r="T29" s="80" t="e">
        <f>#REF!*2</f>
        <v>#REF!</v>
      </c>
      <c r="U29" s="81" t="e">
        <f t="shared" si="11"/>
        <v>#REF!</v>
      </c>
      <c r="V29" s="82">
        <f>(1/16)*[4]Data!E33</f>
        <v>0</v>
      </c>
      <c r="W29" s="81">
        <f t="shared" si="12"/>
        <v>0</v>
      </c>
      <c r="X29" s="76" t="e">
        <f t="shared" si="16"/>
        <v>#REF!</v>
      </c>
      <c r="Y29" s="81" t="e">
        <f t="shared" si="12"/>
        <v>#REF!</v>
      </c>
      <c r="Z29" s="81">
        <v>1</v>
      </c>
      <c r="AA29" s="83">
        <f t="shared" si="1"/>
        <v>0.57735026918962584</v>
      </c>
      <c r="AB29" s="77" t="e">
        <f t="shared" si="13"/>
        <v>#REF!</v>
      </c>
      <c r="AC29" s="84" t="e">
        <f t="shared" si="2"/>
        <v>#REF!</v>
      </c>
      <c r="AD29" s="83" t="e">
        <f>AD28</f>
        <v>#REF!</v>
      </c>
      <c r="AE29" s="83" t="e">
        <f t="shared" si="3"/>
        <v>#REF!</v>
      </c>
      <c r="AF29" s="85">
        <f>(([4]Data!L31)*(11.5*10^-6)*1)</f>
        <v>1.15011845E-4</v>
      </c>
      <c r="AG29" s="77">
        <f t="shared" si="4"/>
        <v>6.6402119670745514E-5</v>
      </c>
      <c r="AH29" s="77" t="e">
        <f t="shared" si="15"/>
        <v>#REF!</v>
      </c>
      <c r="AI29" s="86">
        <f t="shared" si="5"/>
        <v>0</v>
      </c>
      <c r="AJ29" s="71" t="e">
        <f t="shared" si="6"/>
        <v>#REF!</v>
      </c>
      <c r="AK29" s="74" t="e">
        <f t="shared" si="7"/>
        <v>#REF!</v>
      </c>
      <c r="AL29" s="87" t="e">
        <f t="shared" si="8"/>
        <v>#REF!</v>
      </c>
      <c r="AV29" s="51"/>
      <c r="AW29" s="51"/>
      <c r="AX29" s="51"/>
    </row>
    <row r="30" spans="1:50" s="66" customFormat="1" ht="18" hidden="1" customHeight="1">
      <c r="A30" s="51"/>
      <c r="B30" s="75">
        <v>150</v>
      </c>
      <c r="C30" s="76">
        <v>0</v>
      </c>
      <c r="D30" s="77">
        <f t="shared" si="0"/>
        <v>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>
        <f>P29</f>
        <v>2.8</v>
      </c>
      <c r="Q30" s="79">
        <f t="shared" si="9"/>
        <v>1.4</v>
      </c>
      <c r="R30" s="78">
        <f>'[4]Cert of STD'!D21</f>
        <v>0.39</v>
      </c>
      <c r="S30" s="79">
        <f t="shared" si="10"/>
        <v>0.19500000000000001</v>
      </c>
      <c r="T30" s="80" t="e">
        <f>#REF!*2</f>
        <v>#REF!</v>
      </c>
      <c r="U30" s="81" t="e">
        <f t="shared" si="11"/>
        <v>#REF!</v>
      </c>
      <c r="V30" s="82">
        <f>(1/16)*[4]Data!E34</f>
        <v>0</v>
      </c>
      <c r="W30" s="81">
        <f t="shared" si="12"/>
        <v>0</v>
      </c>
      <c r="X30" s="76" t="e">
        <f>X29</f>
        <v>#REF!</v>
      </c>
      <c r="Y30" s="81" t="e">
        <f t="shared" si="12"/>
        <v>#REF!</v>
      </c>
      <c r="Z30" s="81">
        <v>1</v>
      </c>
      <c r="AA30" s="83">
        <f t="shared" si="1"/>
        <v>0.57735026918962584</v>
      </c>
      <c r="AB30" s="77" t="e">
        <f>AB29</f>
        <v>#REF!</v>
      </c>
      <c r="AC30" s="84" t="e">
        <f t="shared" si="2"/>
        <v>#REF!</v>
      </c>
      <c r="AD30" s="83" t="e">
        <f>AD29</f>
        <v>#REF!</v>
      </c>
      <c r="AE30" s="83" t="e">
        <f t="shared" si="3"/>
        <v>#REF!</v>
      </c>
      <c r="AF30" s="85">
        <f>(([4]Data!L32)*(11.5*10^-6)*1)</f>
        <v>0</v>
      </c>
      <c r="AG30" s="77">
        <f t="shared" si="4"/>
        <v>0</v>
      </c>
      <c r="AH30" s="77" t="e">
        <f t="shared" si="15"/>
        <v>#REF!</v>
      </c>
      <c r="AI30" s="86">
        <f t="shared" si="5"/>
        <v>0</v>
      </c>
      <c r="AJ30" s="71" t="e">
        <f t="shared" si="6"/>
        <v>#REF!</v>
      </c>
      <c r="AK30" s="74" t="e">
        <f t="shared" si="7"/>
        <v>#REF!</v>
      </c>
      <c r="AL30" s="87" t="e">
        <f t="shared" si="8"/>
        <v>#REF!</v>
      </c>
      <c r="AV30" s="51"/>
      <c r="AW30" s="51"/>
      <c r="AX30" s="51"/>
    </row>
    <row r="31" spans="1:50" s="66" customFormat="1" ht="18" hidden="1" customHeight="1">
      <c r="A31" s="51"/>
      <c r="B31" s="75">
        <v>150</v>
      </c>
      <c r="C31" s="76">
        <v>0</v>
      </c>
      <c r="D31" s="77">
        <f t="shared" si="0"/>
        <v>0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>
        <f t="shared" ref="P31:P35" si="18">P30</f>
        <v>2.8</v>
      </c>
      <c r="Q31" s="79">
        <f t="shared" si="9"/>
        <v>1.4</v>
      </c>
      <c r="R31" s="78">
        <f>'[4]Cert of STD'!D22</f>
        <v>0</v>
      </c>
      <c r="S31" s="79">
        <f t="shared" si="10"/>
        <v>0</v>
      </c>
      <c r="T31" s="80" t="e">
        <f>#REF!*2</f>
        <v>#REF!</v>
      </c>
      <c r="U31" s="81" t="e">
        <f t="shared" si="11"/>
        <v>#REF!</v>
      </c>
      <c r="V31" s="82">
        <f>(1/16)*[4]Data!E35</f>
        <v>0</v>
      </c>
      <c r="W31" s="81">
        <f t="shared" si="12"/>
        <v>0</v>
      </c>
      <c r="X31" s="76" t="e">
        <f t="shared" ref="X31:X35" si="19">X30</f>
        <v>#REF!</v>
      </c>
      <c r="Y31" s="81" t="e">
        <f t="shared" si="12"/>
        <v>#REF!</v>
      </c>
      <c r="Z31" s="81">
        <v>1</v>
      </c>
      <c r="AA31" s="83">
        <f t="shared" si="1"/>
        <v>0.57735026918962584</v>
      </c>
      <c r="AB31" s="77" t="e">
        <f t="shared" ref="AB31:AB35" si="20">AB30</f>
        <v>#REF!</v>
      </c>
      <c r="AC31" s="84" t="e">
        <f t="shared" si="2"/>
        <v>#REF!</v>
      </c>
      <c r="AD31" s="83" t="e">
        <f t="shared" ref="AD31:AD35" si="21">AD30</f>
        <v>#REF!</v>
      </c>
      <c r="AE31" s="83" t="e">
        <f t="shared" si="3"/>
        <v>#REF!</v>
      </c>
      <c r="AF31" s="85">
        <f>(([4]Data!L33)*(11.5*10^-6)*1)</f>
        <v>2.8750000000000001E-5</v>
      </c>
      <c r="AG31" s="77">
        <f t="shared" si="4"/>
        <v>1.6598820239201741E-5</v>
      </c>
      <c r="AH31" s="77" t="e">
        <f t="shared" si="15"/>
        <v>#REF!</v>
      </c>
      <c r="AI31" s="86">
        <f t="shared" si="5"/>
        <v>0</v>
      </c>
      <c r="AJ31" s="71" t="e">
        <f t="shared" si="6"/>
        <v>#REF!</v>
      </c>
      <c r="AK31" s="74" t="e">
        <f t="shared" si="7"/>
        <v>#REF!</v>
      </c>
      <c r="AL31" s="87" t="e">
        <f t="shared" si="8"/>
        <v>#REF!</v>
      </c>
      <c r="AM31" s="88"/>
      <c r="AN31" s="89"/>
      <c r="AV31" s="51"/>
      <c r="AW31" s="51"/>
      <c r="AX31" s="51"/>
    </row>
    <row r="32" spans="1:50" s="66" customFormat="1" ht="18" hidden="1" customHeight="1">
      <c r="A32" s="51"/>
      <c r="B32" s="75">
        <v>150</v>
      </c>
      <c r="C32" s="76">
        <v>0</v>
      </c>
      <c r="D32" s="77">
        <f t="shared" si="0"/>
        <v>0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8">
        <f t="shared" si="18"/>
        <v>2.8</v>
      </c>
      <c r="Q32" s="79">
        <f t="shared" si="9"/>
        <v>1.4</v>
      </c>
      <c r="R32" s="78">
        <f>'[4]Cert of STD'!D23</f>
        <v>0</v>
      </c>
      <c r="S32" s="79">
        <f t="shared" si="10"/>
        <v>0</v>
      </c>
      <c r="T32" s="80" t="e">
        <f>#REF!*2</f>
        <v>#REF!</v>
      </c>
      <c r="U32" s="81" t="e">
        <f t="shared" si="11"/>
        <v>#REF!</v>
      </c>
      <c r="V32" s="82">
        <f>(1/16)*[4]Data!E36</f>
        <v>0</v>
      </c>
      <c r="W32" s="81">
        <f t="shared" si="12"/>
        <v>0</v>
      </c>
      <c r="X32" s="76" t="e">
        <f t="shared" si="19"/>
        <v>#REF!</v>
      </c>
      <c r="Y32" s="81" t="e">
        <f t="shared" si="12"/>
        <v>#REF!</v>
      </c>
      <c r="Z32" s="81">
        <v>1</v>
      </c>
      <c r="AA32" s="83">
        <f t="shared" si="1"/>
        <v>0.57735026918962584</v>
      </c>
      <c r="AB32" s="77" t="e">
        <f t="shared" si="20"/>
        <v>#REF!</v>
      </c>
      <c r="AC32" s="84" t="e">
        <f t="shared" si="2"/>
        <v>#REF!</v>
      </c>
      <c r="AD32" s="83" t="e">
        <f t="shared" si="21"/>
        <v>#REF!</v>
      </c>
      <c r="AE32" s="83" t="e">
        <f t="shared" si="3"/>
        <v>#REF!</v>
      </c>
      <c r="AF32" s="85">
        <f>(([4]Data!L34)*(11.5*10^-6)*1)</f>
        <v>0</v>
      </c>
      <c r="AG32" s="77">
        <f t="shared" si="4"/>
        <v>0</v>
      </c>
      <c r="AH32" s="77" t="e">
        <f t="shared" si="15"/>
        <v>#REF!</v>
      </c>
      <c r="AI32" s="86">
        <f t="shared" si="5"/>
        <v>0</v>
      </c>
      <c r="AJ32" s="71" t="e">
        <f t="shared" si="6"/>
        <v>#REF!</v>
      </c>
      <c r="AK32" s="74" t="e">
        <f t="shared" si="7"/>
        <v>#REF!</v>
      </c>
      <c r="AL32" s="87" t="e">
        <f t="shared" si="8"/>
        <v>#REF!</v>
      </c>
      <c r="AM32" s="7"/>
      <c r="AN32" s="7"/>
      <c r="AV32" s="51"/>
      <c r="AW32" s="51"/>
      <c r="AX32" s="51"/>
    </row>
    <row r="33" spans="2:40" s="13" customFormat="1" ht="18" hidden="1" customHeight="1">
      <c r="B33" s="75">
        <v>150</v>
      </c>
      <c r="C33" s="76">
        <v>0</v>
      </c>
      <c r="D33" s="77">
        <f t="shared" si="0"/>
        <v>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8">
        <f t="shared" si="18"/>
        <v>2.8</v>
      </c>
      <c r="Q33" s="79">
        <f t="shared" si="9"/>
        <v>1.4</v>
      </c>
      <c r="R33" s="78">
        <f>'[4]Cert of STD'!D24</f>
        <v>0</v>
      </c>
      <c r="S33" s="79">
        <f t="shared" si="10"/>
        <v>0</v>
      </c>
      <c r="T33" s="80" t="e">
        <f>#REF!*2</f>
        <v>#REF!</v>
      </c>
      <c r="U33" s="81" t="e">
        <f t="shared" si="11"/>
        <v>#REF!</v>
      </c>
      <c r="V33" s="82">
        <f>(1/16)*[4]Data!E37</f>
        <v>0</v>
      </c>
      <c r="W33" s="81">
        <f t="shared" si="12"/>
        <v>0</v>
      </c>
      <c r="X33" s="76" t="e">
        <f t="shared" si="19"/>
        <v>#REF!</v>
      </c>
      <c r="Y33" s="81" t="e">
        <f t="shared" si="12"/>
        <v>#REF!</v>
      </c>
      <c r="Z33" s="81">
        <v>1</v>
      </c>
      <c r="AA33" s="83">
        <f t="shared" si="1"/>
        <v>0.57735026918962584</v>
      </c>
      <c r="AB33" s="77" t="e">
        <f t="shared" si="20"/>
        <v>#REF!</v>
      </c>
      <c r="AC33" s="84" t="e">
        <f t="shared" si="2"/>
        <v>#REF!</v>
      </c>
      <c r="AD33" s="83" t="e">
        <f t="shared" si="21"/>
        <v>#REF!</v>
      </c>
      <c r="AE33" s="83" t="e">
        <f t="shared" si="3"/>
        <v>#REF!</v>
      </c>
      <c r="AF33" s="85">
        <f>(([4]Data!L35)*(11.5*10^-6)*1)</f>
        <v>0</v>
      </c>
      <c r="AG33" s="77">
        <f t="shared" si="4"/>
        <v>0</v>
      </c>
      <c r="AH33" s="77" t="e">
        <f t="shared" si="15"/>
        <v>#REF!</v>
      </c>
      <c r="AI33" s="86">
        <f t="shared" si="5"/>
        <v>0</v>
      </c>
      <c r="AJ33" s="71" t="e">
        <f t="shared" si="6"/>
        <v>#REF!</v>
      </c>
      <c r="AK33" s="74" t="e">
        <f t="shared" si="7"/>
        <v>#REF!</v>
      </c>
      <c r="AL33" s="87" t="e">
        <f t="shared" si="8"/>
        <v>#REF!</v>
      </c>
      <c r="AM33" s="7"/>
      <c r="AN33" s="7"/>
    </row>
    <row r="34" spans="2:40" s="13" customFormat="1" ht="18" hidden="1" customHeight="1">
      <c r="B34" s="75">
        <v>150</v>
      </c>
      <c r="C34" s="76">
        <v>0</v>
      </c>
      <c r="D34" s="77">
        <f t="shared" si="0"/>
        <v>0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8">
        <f t="shared" si="18"/>
        <v>2.8</v>
      </c>
      <c r="Q34" s="79">
        <f t="shared" si="9"/>
        <v>1.4</v>
      </c>
      <c r="R34" s="78">
        <f>'[4]Cert of STD'!D25</f>
        <v>0</v>
      </c>
      <c r="S34" s="79">
        <f t="shared" si="10"/>
        <v>0</v>
      </c>
      <c r="T34" s="80" t="e">
        <f>#REF!*2</f>
        <v>#REF!</v>
      </c>
      <c r="U34" s="81" t="e">
        <f t="shared" si="11"/>
        <v>#REF!</v>
      </c>
      <c r="V34" s="82">
        <f>(1/16)*[4]Data!E38</f>
        <v>0</v>
      </c>
      <c r="W34" s="81">
        <f t="shared" si="12"/>
        <v>0</v>
      </c>
      <c r="X34" s="76" t="e">
        <f t="shared" si="19"/>
        <v>#REF!</v>
      </c>
      <c r="Y34" s="81" t="e">
        <f t="shared" si="12"/>
        <v>#REF!</v>
      </c>
      <c r="Z34" s="81">
        <v>1</v>
      </c>
      <c r="AA34" s="83">
        <f t="shared" si="1"/>
        <v>0.57735026918962584</v>
      </c>
      <c r="AB34" s="77" t="e">
        <f t="shared" si="20"/>
        <v>#REF!</v>
      </c>
      <c r="AC34" s="84" t="e">
        <f t="shared" si="2"/>
        <v>#REF!</v>
      </c>
      <c r="AD34" s="83" t="e">
        <f t="shared" si="21"/>
        <v>#REF!</v>
      </c>
      <c r="AE34" s="83" t="e">
        <f t="shared" si="3"/>
        <v>#REF!</v>
      </c>
      <c r="AF34" s="85">
        <f>(([4]Data!L36)*(11.5*10^-6)*1)</f>
        <v>0</v>
      </c>
      <c r="AG34" s="77">
        <f t="shared" si="4"/>
        <v>0</v>
      </c>
      <c r="AH34" s="77" t="e">
        <f t="shared" si="15"/>
        <v>#REF!</v>
      </c>
      <c r="AI34" s="86">
        <f t="shared" si="5"/>
        <v>0</v>
      </c>
      <c r="AJ34" s="71" t="e">
        <f t="shared" si="6"/>
        <v>#REF!</v>
      </c>
      <c r="AK34" s="74" t="e">
        <f t="shared" si="7"/>
        <v>#REF!</v>
      </c>
      <c r="AL34" s="87" t="e">
        <f t="shared" si="8"/>
        <v>#REF!</v>
      </c>
      <c r="AM34" s="7"/>
      <c r="AN34" s="7"/>
    </row>
    <row r="35" spans="2:40" s="13" customFormat="1" ht="18" hidden="1" customHeight="1">
      <c r="B35" s="75">
        <v>150</v>
      </c>
      <c r="C35" s="76">
        <v>0</v>
      </c>
      <c r="D35" s="77">
        <f t="shared" si="0"/>
        <v>0</v>
      </c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8">
        <f t="shared" si="18"/>
        <v>2.8</v>
      </c>
      <c r="Q35" s="79">
        <f t="shared" si="9"/>
        <v>1.4</v>
      </c>
      <c r="R35" s="78">
        <f>'[4]Cert of STD'!D26</f>
        <v>0</v>
      </c>
      <c r="S35" s="79">
        <f t="shared" si="10"/>
        <v>0</v>
      </c>
      <c r="T35" s="80" t="e">
        <f>#REF!*2</f>
        <v>#REF!</v>
      </c>
      <c r="U35" s="81" t="e">
        <f t="shared" si="11"/>
        <v>#REF!</v>
      </c>
      <c r="V35" s="82">
        <f>(1/16)*[4]Data!E39</f>
        <v>0</v>
      </c>
      <c r="W35" s="81">
        <f t="shared" si="12"/>
        <v>0</v>
      </c>
      <c r="X35" s="76" t="e">
        <f t="shared" si="19"/>
        <v>#REF!</v>
      </c>
      <c r="Y35" s="81" t="e">
        <f t="shared" si="12"/>
        <v>#REF!</v>
      </c>
      <c r="Z35" s="81">
        <v>1</v>
      </c>
      <c r="AA35" s="83">
        <f t="shared" si="1"/>
        <v>0.57735026918962584</v>
      </c>
      <c r="AB35" s="77" t="e">
        <f t="shared" si="20"/>
        <v>#REF!</v>
      </c>
      <c r="AC35" s="84" t="e">
        <f t="shared" si="2"/>
        <v>#REF!</v>
      </c>
      <c r="AD35" s="83" t="e">
        <f t="shared" si="21"/>
        <v>#REF!</v>
      </c>
      <c r="AE35" s="83" t="e">
        <f t="shared" si="3"/>
        <v>#REF!</v>
      </c>
      <c r="AF35" s="85">
        <f>(([4]Data!L37)*(11.5*10^-6)*1)</f>
        <v>0</v>
      </c>
      <c r="AG35" s="77">
        <f t="shared" si="4"/>
        <v>0</v>
      </c>
      <c r="AH35" s="77" t="e">
        <f t="shared" si="15"/>
        <v>#REF!</v>
      </c>
      <c r="AI35" s="86">
        <f t="shared" si="5"/>
        <v>0</v>
      </c>
      <c r="AJ35" s="71" t="e">
        <f t="shared" si="6"/>
        <v>#REF!</v>
      </c>
      <c r="AK35" s="74" t="e">
        <f t="shared" si="7"/>
        <v>#REF!</v>
      </c>
      <c r="AL35" s="87" t="e">
        <f t="shared" si="8"/>
        <v>#REF!</v>
      </c>
      <c r="AM35" s="7"/>
      <c r="AN35" s="7"/>
    </row>
    <row r="36" spans="2:40" s="13" customFormat="1" ht="18" hidden="1" customHeight="1">
      <c r="B36" s="75">
        <v>150</v>
      </c>
      <c r="C36" s="76">
        <v>0</v>
      </c>
      <c r="D36" s="77">
        <f t="shared" si="0"/>
        <v>0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8">
        <f>P35</f>
        <v>2.8</v>
      </c>
      <c r="Q36" s="79">
        <f t="shared" si="9"/>
        <v>1.4</v>
      </c>
      <c r="R36" s="78">
        <f>'[4]Cert of STD'!D27</f>
        <v>0</v>
      </c>
      <c r="S36" s="79">
        <f t="shared" si="10"/>
        <v>0</v>
      </c>
      <c r="T36" s="80" t="e">
        <f>#REF!*2</f>
        <v>#REF!</v>
      </c>
      <c r="U36" s="81" t="e">
        <f t="shared" si="11"/>
        <v>#REF!</v>
      </c>
      <c r="V36" s="82">
        <f>(1/16)*[4]Data!E40</f>
        <v>0</v>
      </c>
      <c r="W36" s="81">
        <f t="shared" si="12"/>
        <v>0</v>
      </c>
      <c r="X36" s="76" t="e">
        <f>X35</f>
        <v>#REF!</v>
      </c>
      <c r="Y36" s="81" t="e">
        <f t="shared" si="12"/>
        <v>#REF!</v>
      </c>
      <c r="Z36" s="81">
        <v>1</v>
      </c>
      <c r="AA36" s="83">
        <f t="shared" si="1"/>
        <v>0.57735026918962584</v>
      </c>
      <c r="AB36" s="77" t="e">
        <f>AB35</f>
        <v>#REF!</v>
      </c>
      <c r="AC36" s="84" t="e">
        <f t="shared" si="2"/>
        <v>#REF!</v>
      </c>
      <c r="AD36" s="83" t="e">
        <f>AD35</f>
        <v>#REF!</v>
      </c>
      <c r="AE36" s="83" t="e">
        <f t="shared" si="3"/>
        <v>#REF!</v>
      </c>
      <c r="AF36" s="85">
        <f>(([4]Data!L38)*(11.5*10^-6)*1)</f>
        <v>0</v>
      </c>
      <c r="AG36" s="77">
        <f t="shared" si="4"/>
        <v>0</v>
      </c>
      <c r="AH36" s="77" t="e">
        <f t="shared" si="15"/>
        <v>#REF!</v>
      </c>
      <c r="AI36" s="86">
        <f t="shared" si="5"/>
        <v>0</v>
      </c>
      <c r="AJ36" s="71" t="e">
        <f t="shared" si="6"/>
        <v>#REF!</v>
      </c>
      <c r="AK36" s="74" t="e">
        <f t="shared" si="7"/>
        <v>#REF!</v>
      </c>
      <c r="AL36" s="87" t="e">
        <f t="shared" si="8"/>
        <v>#REF!</v>
      </c>
      <c r="AM36" s="7"/>
      <c r="AN36" s="7"/>
    </row>
    <row r="37" spans="2:40" s="13" customFormat="1" ht="18" hidden="1" customHeight="1">
      <c r="B37" s="75">
        <v>150</v>
      </c>
      <c r="C37" s="76">
        <v>0</v>
      </c>
      <c r="D37" s="77">
        <f t="shared" si="0"/>
        <v>0</v>
      </c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8">
        <f t="shared" ref="P37" si="22">P36</f>
        <v>2.8</v>
      </c>
      <c r="Q37" s="79">
        <f t="shared" si="9"/>
        <v>1.4</v>
      </c>
      <c r="R37" s="78">
        <f>'[4]Cert of STD'!D28</f>
        <v>0</v>
      </c>
      <c r="S37" s="79">
        <f t="shared" si="10"/>
        <v>0</v>
      </c>
      <c r="T37" s="80" t="e">
        <f>#REF!*2</f>
        <v>#REF!</v>
      </c>
      <c r="U37" s="81" t="e">
        <f t="shared" si="11"/>
        <v>#REF!</v>
      </c>
      <c r="V37" s="82">
        <f>(1/16)*[4]Data!E41</f>
        <v>0</v>
      </c>
      <c r="W37" s="81">
        <f t="shared" si="12"/>
        <v>0</v>
      </c>
      <c r="X37" s="76" t="e">
        <f t="shared" ref="X37" si="23">X36</f>
        <v>#REF!</v>
      </c>
      <c r="Y37" s="81" t="e">
        <f t="shared" si="12"/>
        <v>#REF!</v>
      </c>
      <c r="Z37" s="81">
        <v>1</v>
      </c>
      <c r="AA37" s="83">
        <f t="shared" si="1"/>
        <v>0.57735026918962584</v>
      </c>
      <c r="AB37" s="77" t="e">
        <f t="shared" ref="AB37" si="24">AB36</f>
        <v>#REF!</v>
      </c>
      <c r="AC37" s="84" t="e">
        <f t="shared" si="2"/>
        <v>#REF!</v>
      </c>
      <c r="AD37" s="83" t="e">
        <f t="shared" ref="AD37" si="25">AD36</f>
        <v>#REF!</v>
      </c>
      <c r="AE37" s="83" t="e">
        <f t="shared" si="3"/>
        <v>#REF!</v>
      </c>
      <c r="AF37" s="85">
        <f>(([4]Data!L39)*(11.5*10^-6)*1)</f>
        <v>2.3E-5</v>
      </c>
      <c r="AG37" s="77">
        <f t="shared" si="4"/>
        <v>1.3279056191361393E-5</v>
      </c>
      <c r="AH37" s="77" t="e">
        <f t="shared" si="15"/>
        <v>#REF!</v>
      </c>
      <c r="AI37" s="86">
        <f t="shared" si="5"/>
        <v>0</v>
      </c>
      <c r="AJ37" s="71" t="e">
        <f t="shared" si="6"/>
        <v>#REF!</v>
      </c>
      <c r="AK37" s="74" t="e">
        <f t="shared" si="7"/>
        <v>#REF!</v>
      </c>
      <c r="AL37" s="87" t="e">
        <f t="shared" si="8"/>
        <v>#REF!</v>
      </c>
      <c r="AM37" s="7"/>
      <c r="AN37" s="7"/>
    </row>
    <row r="38" spans="2:40" s="13" customFormat="1" ht="18" hidden="1" customHeight="1">
      <c r="B38" s="75">
        <v>150</v>
      </c>
      <c r="C38" s="76">
        <v>0</v>
      </c>
      <c r="D38" s="77">
        <f t="shared" si="0"/>
        <v>0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8">
        <f>P37</f>
        <v>2.8</v>
      </c>
      <c r="Q38" s="79">
        <f t="shared" si="9"/>
        <v>1.4</v>
      </c>
      <c r="R38" s="78">
        <f>'[4]Cert of STD'!D29</f>
        <v>0</v>
      </c>
      <c r="S38" s="79">
        <f t="shared" si="10"/>
        <v>0</v>
      </c>
      <c r="T38" s="80" t="e">
        <f>#REF!*2</f>
        <v>#REF!</v>
      </c>
      <c r="U38" s="81" t="e">
        <f t="shared" si="11"/>
        <v>#REF!</v>
      </c>
      <c r="V38" s="82">
        <f>(1/16)*[4]Data!E42</f>
        <v>0</v>
      </c>
      <c r="W38" s="81">
        <f t="shared" si="12"/>
        <v>0</v>
      </c>
      <c r="X38" s="76" t="e">
        <f>X37</f>
        <v>#REF!</v>
      </c>
      <c r="Y38" s="81" t="e">
        <f t="shared" si="12"/>
        <v>#REF!</v>
      </c>
      <c r="Z38" s="81">
        <v>1</v>
      </c>
      <c r="AA38" s="83">
        <f t="shared" si="1"/>
        <v>0.57735026918962584</v>
      </c>
      <c r="AB38" s="77" t="e">
        <f>AB37</f>
        <v>#REF!</v>
      </c>
      <c r="AC38" s="84" t="e">
        <f t="shared" si="2"/>
        <v>#REF!</v>
      </c>
      <c r="AD38" s="83" t="e">
        <f>AD37</f>
        <v>#REF!</v>
      </c>
      <c r="AE38" s="83" t="e">
        <f t="shared" si="3"/>
        <v>#REF!</v>
      </c>
      <c r="AF38" s="85">
        <f>(([4]Data!L40)*(11.5*10^-6)*1)</f>
        <v>1.15011845E-4</v>
      </c>
      <c r="AG38" s="77">
        <f t="shared" si="4"/>
        <v>6.6402119670745514E-5</v>
      </c>
      <c r="AH38" s="77" t="e">
        <f t="shared" si="15"/>
        <v>#REF!</v>
      </c>
      <c r="AI38" s="86">
        <f t="shared" si="5"/>
        <v>0</v>
      </c>
      <c r="AJ38" s="71" t="e">
        <f t="shared" si="6"/>
        <v>#REF!</v>
      </c>
      <c r="AK38" s="74" t="e">
        <f t="shared" si="7"/>
        <v>#REF!</v>
      </c>
      <c r="AL38" s="87" t="e">
        <f t="shared" si="8"/>
        <v>#REF!</v>
      </c>
      <c r="AM38" s="7"/>
      <c r="AN38" s="7"/>
    </row>
    <row r="39" spans="2:40" s="13" customFormat="1" ht="18" hidden="1" customHeight="1">
      <c r="B39" s="75">
        <v>150</v>
      </c>
      <c r="C39" s="76">
        <v>0</v>
      </c>
      <c r="D39" s="77">
        <f t="shared" si="0"/>
        <v>0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8">
        <f t="shared" ref="P39" si="26">P38</f>
        <v>2.8</v>
      </c>
      <c r="Q39" s="79">
        <f t="shared" si="9"/>
        <v>1.4</v>
      </c>
      <c r="R39" s="78">
        <f>'[4]Cert of STD'!D30</f>
        <v>0</v>
      </c>
      <c r="S39" s="79">
        <f t="shared" si="10"/>
        <v>0</v>
      </c>
      <c r="T39" s="80" t="e">
        <f>#REF!*2</f>
        <v>#REF!</v>
      </c>
      <c r="U39" s="81" t="e">
        <f t="shared" si="11"/>
        <v>#REF!</v>
      </c>
      <c r="V39" s="82">
        <f>(1/16)*[4]Data!E43</f>
        <v>0</v>
      </c>
      <c r="W39" s="81">
        <f t="shared" si="12"/>
        <v>0</v>
      </c>
      <c r="X39" s="76" t="e">
        <f t="shared" ref="X39" si="27">X38</f>
        <v>#REF!</v>
      </c>
      <c r="Y39" s="81" t="e">
        <f t="shared" si="12"/>
        <v>#REF!</v>
      </c>
      <c r="Z39" s="81">
        <v>1</v>
      </c>
      <c r="AA39" s="83">
        <f t="shared" si="1"/>
        <v>0.57735026918962584</v>
      </c>
      <c r="AB39" s="77" t="e">
        <f t="shared" ref="AB39" si="28">AB38</f>
        <v>#REF!</v>
      </c>
      <c r="AC39" s="84" t="e">
        <f t="shared" si="2"/>
        <v>#REF!</v>
      </c>
      <c r="AD39" s="83" t="e">
        <f t="shared" ref="AD39" si="29">AD38</f>
        <v>#REF!</v>
      </c>
      <c r="AE39" s="83" t="e">
        <f t="shared" si="3"/>
        <v>#REF!</v>
      </c>
      <c r="AF39" s="85">
        <f>(([4]Data!L41)*(11.5*10^-6)*1)</f>
        <v>1.15011845E-4</v>
      </c>
      <c r="AG39" s="77">
        <f t="shared" si="4"/>
        <v>6.6402119670745514E-5</v>
      </c>
      <c r="AH39" s="77" t="e">
        <f t="shared" si="15"/>
        <v>#REF!</v>
      </c>
      <c r="AI39" s="86">
        <f t="shared" si="5"/>
        <v>0</v>
      </c>
      <c r="AJ39" s="71" t="e">
        <f t="shared" si="6"/>
        <v>#REF!</v>
      </c>
      <c r="AK39" s="74" t="e">
        <f t="shared" si="7"/>
        <v>#REF!</v>
      </c>
      <c r="AL39" s="87" t="e">
        <f t="shared" si="8"/>
        <v>#REF!</v>
      </c>
      <c r="AM39" s="7"/>
      <c r="AN39" s="7"/>
    </row>
    <row r="40" spans="2:40" s="13" customFormat="1" ht="18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2:40" s="13" customFormat="1" ht="18" customHeight="1">
      <c r="B41" s="7"/>
      <c r="C41" s="7"/>
      <c r="D41" s="7"/>
      <c r="E41" s="7"/>
      <c r="F41" s="7"/>
      <c r="G41" s="7"/>
      <c r="H41" s="7"/>
      <c r="Y41" s="7"/>
      <c r="Z41" s="7"/>
      <c r="AA41" s="7"/>
      <c r="AB41" s="7"/>
      <c r="AC41" s="7"/>
    </row>
    <row r="42" spans="2:40" s="13" customFormat="1" ht="18" customHeight="1">
      <c r="B42" s="7"/>
      <c r="C42" s="7"/>
      <c r="D42" s="7"/>
      <c r="E42" s="7"/>
      <c r="F42" s="7"/>
      <c r="G42" s="7"/>
      <c r="H42" s="7"/>
      <c r="Y42" s="7"/>
      <c r="Z42" s="7"/>
      <c r="AA42" s="7"/>
      <c r="AB42" s="7"/>
      <c r="AC42" s="7"/>
    </row>
    <row r="43" spans="2:40" s="13" customFormat="1" ht="18" customHeight="1">
      <c r="B43" s="7"/>
      <c r="C43" s="7"/>
      <c r="D43" s="7"/>
      <c r="E43" s="7"/>
      <c r="F43" s="7"/>
      <c r="G43" s="7"/>
      <c r="H43" s="7"/>
      <c r="Y43" s="7"/>
      <c r="Z43" s="7"/>
      <c r="AA43" s="7"/>
      <c r="AB43" s="7"/>
      <c r="AC43" s="7"/>
    </row>
    <row r="44" spans="2:40" s="13" customFormat="1" ht="18" customHeight="1">
      <c r="B44" s="7"/>
      <c r="C44" s="7"/>
      <c r="D44" s="7"/>
      <c r="E44" s="7"/>
      <c r="F44" s="7"/>
      <c r="G44" s="7"/>
      <c r="H44" s="7"/>
      <c r="Y44" s="7"/>
      <c r="Z44" s="7"/>
      <c r="AA44" s="7"/>
      <c r="AB44" s="7"/>
      <c r="AC44" s="7"/>
    </row>
    <row r="45" spans="2:40" s="13" customFormat="1" ht="18" customHeight="1">
      <c r="B45" s="7"/>
      <c r="C45" s="7"/>
      <c r="D45" s="7"/>
      <c r="E45" s="7"/>
      <c r="F45" s="7"/>
      <c r="G45" s="7"/>
      <c r="H45" s="7"/>
      <c r="Y45" s="7"/>
      <c r="Z45" s="7"/>
      <c r="AA45" s="7"/>
      <c r="AB45" s="7"/>
      <c r="AC45" s="7"/>
    </row>
    <row r="46" spans="2:40" s="13" customFormat="1" ht="18" customHeight="1">
      <c r="B46" s="7"/>
      <c r="C46" s="7"/>
      <c r="D46" s="7"/>
      <c r="E46" s="7"/>
      <c r="F46" s="7"/>
      <c r="G46" s="7"/>
      <c r="H46" s="7"/>
      <c r="Y46" s="7"/>
      <c r="Z46" s="7"/>
      <c r="AA46" s="7"/>
      <c r="AB46" s="7"/>
      <c r="AC46" s="7"/>
    </row>
    <row r="47" spans="2:40" s="13" customFormat="1" ht="18" customHeight="1">
      <c r="B47" s="7"/>
      <c r="C47" s="7"/>
      <c r="D47" s="7"/>
      <c r="E47" s="7"/>
      <c r="F47" s="7"/>
      <c r="G47" s="7"/>
      <c r="H47" s="7"/>
      <c r="Y47" s="7"/>
      <c r="Z47" s="7"/>
      <c r="AA47" s="7"/>
      <c r="AB47" s="7"/>
      <c r="AC47" s="7"/>
    </row>
    <row r="48" spans="2:40" s="13" customFormat="1" ht="18" customHeight="1">
      <c r="B48" s="7"/>
      <c r="C48" s="7"/>
      <c r="D48" s="7"/>
      <c r="E48" s="7"/>
      <c r="F48" s="7"/>
      <c r="G48" s="7"/>
      <c r="H48" s="7"/>
      <c r="Y48" s="7"/>
      <c r="Z48" s="7"/>
      <c r="AA48" s="7"/>
      <c r="AB48" s="7"/>
      <c r="AC48" s="7"/>
    </row>
    <row r="49" spans="2:40" s="13" customFormat="1" ht="18" customHeight="1">
      <c r="B49" s="7"/>
      <c r="C49" s="7"/>
      <c r="D49" s="7"/>
      <c r="E49" s="7"/>
      <c r="F49" s="7"/>
      <c r="G49" s="7"/>
      <c r="H49" s="7"/>
      <c r="Y49" s="7"/>
      <c r="Z49" s="7"/>
      <c r="AA49" s="7"/>
      <c r="AB49" s="7"/>
      <c r="AC49" s="7"/>
    </row>
    <row r="50" spans="2:40" s="13" customFormat="1" ht="18" customHeight="1">
      <c r="B50" s="7"/>
      <c r="C50" s="7"/>
      <c r="D50" s="7"/>
      <c r="E50" s="7"/>
      <c r="F50" s="7"/>
      <c r="G50" s="7"/>
      <c r="H50" s="7"/>
      <c r="Y50" s="7"/>
      <c r="Z50" s="7"/>
      <c r="AA50" s="7"/>
      <c r="AB50" s="7"/>
      <c r="AC50" s="7"/>
    </row>
    <row r="51" spans="2:40" s="13" customFormat="1" ht="18" customHeight="1">
      <c r="B51" s="7"/>
      <c r="C51" s="7"/>
      <c r="D51" s="7"/>
      <c r="E51" s="7"/>
      <c r="F51" s="7"/>
      <c r="G51" s="7"/>
      <c r="H51" s="7"/>
      <c r="R51" s="90"/>
      <c r="S51" s="7"/>
      <c r="U51" s="7"/>
      <c r="W51" s="7"/>
      <c r="X51" s="7"/>
      <c r="Y51" s="7"/>
      <c r="Z51" s="7"/>
      <c r="AA51" s="7"/>
      <c r="AB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2:40" s="13" customFormat="1" ht="18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V52" s="91"/>
      <c r="W52" s="91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2:40" s="13" customFormat="1" ht="1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2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4"/>
      <c r="AI53" s="93"/>
      <c r="AJ53" s="93"/>
      <c r="AK53" s="93"/>
      <c r="AL53" s="95"/>
      <c r="AM53" s="96"/>
      <c r="AN53" s="93"/>
    </row>
    <row r="54" spans="2:40" s="13" customFormat="1" ht="1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2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4"/>
      <c r="AI54" s="93"/>
      <c r="AJ54" s="93"/>
      <c r="AK54" s="93"/>
      <c r="AL54" s="95"/>
      <c r="AM54" s="96"/>
      <c r="AN54" s="93"/>
    </row>
    <row r="55" spans="2:40" s="13" customFormat="1" ht="1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2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4"/>
      <c r="AI55" s="93"/>
      <c r="AJ55" s="93"/>
      <c r="AK55" s="93"/>
      <c r="AL55" s="95"/>
      <c r="AM55" s="96"/>
      <c r="AN55" s="93"/>
    </row>
    <row r="56" spans="2:40">
      <c r="V56" s="93"/>
    </row>
  </sheetData>
  <mergeCells count="76">
    <mergeCell ref="C22:E22"/>
    <mergeCell ref="F22:G22"/>
    <mergeCell ref="H22:I22"/>
    <mergeCell ref="J22:K22"/>
    <mergeCell ref="M22:N22"/>
    <mergeCell ref="C23:E23"/>
    <mergeCell ref="F23:G23"/>
    <mergeCell ref="H23:I23"/>
    <mergeCell ref="J23:K23"/>
    <mergeCell ref="M23:N23"/>
    <mergeCell ref="C20:E20"/>
    <mergeCell ref="F20:G20"/>
    <mergeCell ref="H20:I20"/>
    <mergeCell ref="J20:K20"/>
    <mergeCell ref="M20:N20"/>
    <mergeCell ref="C21:E21"/>
    <mergeCell ref="F21:G21"/>
    <mergeCell ref="H21:I21"/>
    <mergeCell ref="J21:K21"/>
    <mergeCell ref="M21:N21"/>
    <mergeCell ref="C18:E18"/>
    <mergeCell ref="F18:G18"/>
    <mergeCell ref="H18:I18"/>
    <mergeCell ref="J18:K18"/>
    <mergeCell ref="M18:N18"/>
    <mergeCell ref="C19:E19"/>
    <mergeCell ref="F19:G19"/>
    <mergeCell ref="H19:I19"/>
    <mergeCell ref="J19:K19"/>
    <mergeCell ref="M19:N19"/>
    <mergeCell ref="T16:V17"/>
    <mergeCell ref="C17:E17"/>
    <mergeCell ref="F17:G17"/>
    <mergeCell ref="H17:I17"/>
    <mergeCell ref="J17:K17"/>
    <mergeCell ref="M17:N17"/>
    <mergeCell ref="C16:E16"/>
    <mergeCell ref="F16:G16"/>
    <mergeCell ref="H16:I16"/>
    <mergeCell ref="J16:K16"/>
    <mergeCell ref="M16:N16"/>
    <mergeCell ref="S16:S17"/>
    <mergeCell ref="S14:S15"/>
    <mergeCell ref="T14:T15"/>
    <mergeCell ref="C15:E15"/>
    <mergeCell ref="F15:G15"/>
    <mergeCell ref="H15:I15"/>
    <mergeCell ref="J15:K15"/>
    <mergeCell ref="M15:N15"/>
    <mergeCell ref="C14:E14"/>
    <mergeCell ref="F14:G14"/>
    <mergeCell ref="H14:I14"/>
    <mergeCell ref="J14:K14"/>
    <mergeCell ref="M14:N14"/>
    <mergeCell ref="R14:R15"/>
    <mergeCell ref="J12:K13"/>
    <mergeCell ref="L12:L13"/>
    <mergeCell ref="M12:N12"/>
    <mergeCell ref="O12:O13"/>
    <mergeCell ref="F13:G13"/>
    <mergeCell ref="H13:I13"/>
    <mergeCell ref="M13:N13"/>
    <mergeCell ref="D6:E6"/>
    <mergeCell ref="D7:E7"/>
    <mergeCell ref="G8:H8"/>
    <mergeCell ref="G9:H9"/>
    <mergeCell ref="B12:B13"/>
    <mergeCell ref="C12:E13"/>
    <mergeCell ref="F12:G12"/>
    <mergeCell ref="H12:I12"/>
    <mergeCell ref="Q5:R5"/>
    <mergeCell ref="B2:O2"/>
    <mergeCell ref="B5:C5"/>
    <mergeCell ref="E5:F5"/>
    <mergeCell ref="I5:J5"/>
    <mergeCell ref="K5:L5"/>
  </mergeCells>
  <pageMargins left="0.31496062992125984" right="0.31496062992125984" top="0.74803149606299213" bottom="0.74803149606299213" header="0.31496062992125984" footer="0.31496062992125984"/>
  <pageSetup paperSize="9" scale="85" orientation="landscape" r:id="rId1"/>
  <colBreaks count="1" manualBreakCount="1">
    <brk id="38" max="1048575" man="1"/>
  </colBreaks>
  <drawing r:id="rId2"/>
  <legacyDrawing r:id="rId3"/>
  <oleObjects>
    <mc:AlternateContent xmlns:mc="http://schemas.openxmlformats.org/markup-compatibility/2006">
      <mc:Choice Requires="x14">
        <oleObject progId="Equation.3" shapeId="11265" r:id="rId4">
          <objectPr defaultSize="0" autoPict="0" r:id="rId5">
            <anchor moveWithCells="1">
              <from>
                <xdr:col>14</xdr:col>
                <xdr:colOff>171450</xdr:colOff>
                <xdr:row>14</xdr:row>
                <xdr:rowOff>28575</xdr:rowOff>
              </from>
              <to>
                <xdr:col>14</xdr:col>
                <xdr:colOff>428625</xdr:colOff>
                <xdr:row>14</xdr:row>
                <xdr:rowOff>200025</xdr:rowOff>
              </to>
            </anchor>
          </objectPr>
        </oleObject>
      </mc:Choice>
      <mc:Fallback>
        <oleObject progId="Equation.3" shapeId="11265" r:id="rId4"/>
      </mc:Fallback>
    </mc:AlternateContent>
    <mc:AlternateContent xmlns:mc="http://schemas.openxmlformats.org/markup-compatibility/2006">
      <mc:Choice Requires="x14">
        <oleObject progId="Equation.3" shapeId="11266" r:id="rId6">
          <objectPr defaultSize="0" autoPict="0" r:id="rId5">
            <anchor moveWithCells="1">
              <from>
                <xdr:col>14</xdr:col>
                <xdr:colOff>171450</xdr:colOff>
                <xdr:row>15</xdr:row>
                <xdr:rowOff>28575</xdr:rowOff>
              </from>
              <to>
                <xdr:col>14</xdr:col>
                <xdr:colOff>428625</xdr:colOff>
                <xdr:row>15</xdr:row>
                <xdr:rowOff>200025</xdr:rowOff>
              </to>
            </anchor>
          </objectPr>
        </oleObject>
      </mc:Choice>
      <mc:Fallback>
        <oleObject progId="Equation.3" shapeId="11266" r:id="rId6"/>
      </mc:Fallback>
    </mc:AlternateContent>
    <mc:AlternateContent xmlns:mc="http://schemas.openxmlformats.org/markup-compatibility/2006">
      <mc:Choice Requires="x14">
        <oleObject progId="Equation.3" shapeId="11267" r:id="rId7">
          <objectPr defaultSize="0" autoPict="0" r:id="rId5">
            <anchor moveWithCells="1">
              <from>
                <xdr:col>14</xdr:col>
                <xdr:colOff>171450</xdr:colOff>
                <xdr:row>16</xdr:row>
                <xdr:rowOff>28575</xdr:rowOff>
              </from>
              <to>
                <xdr:col>14</xdr:col>
                <xdr:colOff>428625</xdr:colOff>
                <xdr:row>16</xdr:row>
                <xdr:rowOff>200025</xdr:rowOff>
              </to>
            </anchor>
          </objectPr>
        </oleObject>
      </mc:Choice>
      <mc:Fallback>
        <oleObject progId="Equation.3" shapeId="11267" r:id="rId7"/>
      </mc:Fallback>
    </mc:AlternateContent>
    <mc:AlternateContent xmlns:mc="http://schemas.openxmlformats.org/markup-compatibility/2006">
      <mc:Choice Requires="x14">
        <oleObject progId="Equation.3" shapeId="11268" r:id="rId8">
          <objectPr defaultSize="0" autoPict="0" r:id="rId5">
            <anchor moveWithCells="1">
              <from>
                <xdr:col>14</xdr:col>
                <xdr:colOff>171450</xdr:colOff>
                <xdr:row>17</xdr:row>
                <xdr:rowOff>28575</xdr:rowOff>
              </from>
              <to>
                <xdr:col>14</xdr:col>
                <xdr:colOff>428625</xdr:colOff>
                <xdr:row>17</xdr:row>
                <xdr:rowOff>200025</xdr:rowOff>
              </to>
            </anchor>
          </objectPr>
        </oleObject>
      </mc:Choice>
      <mc:Fallback>
        <oleObject progId="Equation.3" shapeId="11268" r:id="rId8"/>
      </mc:Fallback>
    </mc:AlternateContent>
    <mc:AlternateContent xmlns:mc="http://schemas.openxmlformats.org/markup-compatibility/2006">
      <mc:Choice Requires="x14">
        <oleObject progId="Equation.3" shapeId="11269" r:id="rId9">
          <objectPr defaultSize="0" autoPict="0" r:id="rId5">
            <anchor moveWithCells="1">
              <from>
                <xdr:col>14</xdr:col>
                <xdr:colOff>171450</xdr:colOff>
                <xdr:row>18</xdr:row>
                <xdr:rowOff>28575</xdr:rowOff>
              </from>
              <to>
                <xdr:col>14</xdr:col>
                <xdr:colOff>428625</xdr:colOff>
                <xdr:row>18</xdr:row>
                <xdr:rowOff>200025</xdr:rowOff>
              </to>
            </anchor>
          </objectPr>
        </oleObject>
      </mc:Choice>
      <mc:Fallback>
        <oleObject progId="Equation.3" shapeId="11269" r:id="rId9"/>
      </mc:Fallback>
    </mc:AlternateContent>
    <mc:AlternateContent xmlns:mc="http://schemas.openxmlformats.org/markup-compatibility/2006">
      <mc:Choice Requires="x14">
        <oleObject progId="Equation.3" shapeId="11270" r:id="rId10">
          <objectPr defaultSize="0" autoPict="0" r:id="rId5">
            <anchor moveWithCells="1">
              <from>
                <xdr:col>14</xdr:col>
                <xdr:colOff>171450</xdr:colOff>
                <xdr:row>19</xdr:row>
                <xdr:rowOff>28575</xdr:rowOff>
              </from>
              <to>
                <xdr:col>14</xdr:col>
                <xdr:colOff>428625</xdr:colOff>
                <xdr:row>19</xdr:row>
                <xdr:rowOff>200025</xdr:rowOff>
              </to>
            </anchor>
          </objectPr>
        </oleObject>
      </mc:Choice>
      <mc:Fallback>
        <oleObject progId="Equation.3" shapeId="11270" r:id="rId10"/>
      </mc:Fallback>
    </mc:AlternateContent>
    <mc:AlternateContent xmlns:mc="http://schemas.openxmlformats.org/markup-compatibility/2006">
      <mc:Choice Requires="x14">
        <oleObject progId="Equation.3" shapeId="11271" r:id="rId11">
          <objectPr defaultSize="0" autoPict="0" r:id="rId5">
            <anchor moveWithCells="1">
              <from>
                <xdr:col>14</xdr:col>
                <xdr:colOff>171450</xdr:colOff>
                <xdr:row>20</xdr:row>
                <xdr:rowOff>28575</xdr:rowOff>
              </from>
              <to>
                <xdr:col>14</xdr:col>
                <xdr:colOff>428625</xdr:colOff>
                <xdr:row>20</xdr:row>
                <xdr:rowOff>200025</xdr:rowOff>
              </to>
            </anchor>
          </objectPr>
        </oleObject>
      </mc:Choice>
      <mc:Fallback>
        <oleObject progId="Equation.3" shapeId="11271" r:id="rId11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X56"/>
  <sheetViews>
    <sheetView topLeftCell="A2" zoomScale="90" zoomScaleNormal="90" zoomScaleSheetLayoutView="100" workbookViewId="0">
      <selection activeCell="M23" sqref="M23:N23"/>
    </sheetView>
  </sheetViews>
  <sheetFormatPr defaultRowHeight="15"/>
  <cols>
    <col min="1" max="1" width="1.140625" style="51" customWidth="1"/>
    <col min="2" max="29" width="7.5703125" style="51" customWidth="1"/>
    <col min="30" max="38" width="7.140625" style="51" customWidth="1"/>
    <col min="39" max="39" width="4.42578125" style="51" customWidth="1"/>
    <col min="40" max="40" width="7.140625" style="51" customWidth="1"/>
    <col min="41" max="41" width="1.42578125" style="51" customWidth="1"/>
    <col min="48" max="276" width="9.140625" style="51"/>
    <col min="277" max="277" width="1.140625" style="51" customWidth="1"/>
    <col min="278" max="278" width="7.5703125" style="51" customWidth="1"/>
    <col min="279" max="293" width="7.140625" style="51" customWidth="1"/>
    <col min="294" max="295" width="1.42578125" style="51" customWidth="1"/>
    <col min="296" max="296" width="6.42578125" style="51" customWidth="1"/>
    <col min="297" max="298" width="8.7109375" style="51" bestFit="1" customWidth="1"/>
    <col min="299" max="532" width="9.140625" style="51"/>
    <col min="533" max="533" width="1.140625" style="51" customWidth="1"/>
    <col min="534" max="534" width="7.5703125" style="51" customWidth="1"/>
    <col min="535" max="549" width="7.140625" style="51" customWidth="1"/>
    <col min="550" max="551" width="1.42578125" style="51" customWidth="1"/>
    <col min="552" max="552" width="6.42578125" style="51" customWidth="1"/>
    <col min="553" max="554" width="8.7109375" style="51" bestFit="1" customWidth="1"/>
    <col min="555" max="788" width="9.140625" style="51"/>
    <col min="789" max="789" width="1.140625" style="51" customWidth="1"/>
    <col min="790" max="790" width="7.5703125" style="51" customWidth="1"/>
    <col min="791" max="805" width="7.140625" style="51" customWidth="1"/>
    <col min="806" max="807" width="1.42578125" style="51" customWidth="1"/>
    <col min="808" max="808" width="6.42578125" style="51" customWidth="1"/>
    <col min="809" max="810" width="8.7109375" style="51" bestFit="1" customWidth="1"/>
    <col min="811" max="1044" width="9.140625" style="51"/>
    <col min="1045" max="1045" width="1.140625" style="51" customWidth="1"/>
    <col min="1046" max="1046" width="7.5703125" style="51" customWidth="1"/>
    <col min="1047" max="1061" width="7.140625" style="51" customWidth="1"/>
    <col min="1062" max="1063" width="1.42578125" style="51" customWidth="1"/>
    <col min="1064" max="1064" width="6.42578125" style="51" customWidth="1"/>
    <col min="1065" max="1066" width="8.7109375" style="51" bestFit="1" customWidth="1"/>
    <col min="1067" max="1300" width="9.140625" style="51"/>
    <col min="1301" max="1301" width="1.140625" style="51" customWidth="1"/>
    <col min="1302" max="1302" width="7.5703125" style="51" customWidth="1"/>
    <col min="1303" max="1317" width="7.140625" style="51" customWidth="1"/>
    <col min="1318" max="1319" width="1.42578125" style="51" customWidth="1"/>
    <col min="1320" max="1320" width="6.42578125" style="51" customWidth="1"/>
    <col min="1321" max="1322" width="8.7109375" style="51" bestFit="1" customWidth="1"/>
    <col min="1323" max="1556" width="9.140625" style="51"/>
    <col min="1557" max="1557" width="1.140625" style="51" customWidth="1"/>
    <col min="1558" max="1558" width="7.5703125" style="51" customWidth="1"/>
    <col min="1559" max="1573" width="7.140625" style="51" customWidth="1"/>
    <col min="1574" max="1575" width="1.42578125" style="51" customWidth="1"/>
    <col min="1576" max="1576" width="6.42578125" style="51" customWidth="1"/>
    <col min="1577" max="1578" width="8.7109375" style="51" bestFit="1" customWidth="1"/>
    <col min="1579" max="1812" width="9.140625" style="51"/>
    <col min="1813" max="1813" width="1.140625" style="51" customWidth="1"/>
    <col min="1814" max="1814" width="7.5703125" style="51" customWidth="1"/>
    <col min="1815" max="1829" width="7.140625" style="51" customWidth="1"/>
    <col min="1830" max="1831" width="1.42578125" style="51" customWidth="1"/>
    <col min="1832" max="1832" width="6.42578125" style="51" customWidth="1"/>
    <col min="1833" max="1834" width="8.7109375" style="51" bestFit="1" customWidth="1"/>
    <col min="1835" max="2068" width="9.140625" style="51"/>
    <col min="2069" max="2069" width="1.140625" style="51" customWidth="1"/>
    <col min="2070" max="2070" width="7.5703125" style="51" customWidth="1"/>
    <col min="2071" max="2085" width="7.140625" style="51" customWidth="1"/>
    <col min="2086" max="2087" width="1.42578125" style="51" customWidth="1"/>
    <col min="2088" max="2088" width="6.42578125" style="51" customWidth="1"/>
    <col min="2089" max="2090" width="8.7109375" style="51" bestFit="1" customWidth="1"/>
    <col min="2091" max="2324" width="9.140625" style="51"/>
    <col min="2325" max="2325" width="1.140625" style="51" customWidth="1"/>
    <col min="2326" max="2326" width="7.5703125" style="51" customWidth="1"/>
    <col min="2327" max="2341" width="7.140625" style="51" customWidth="1"/>
    <col min="2342" max="2343" width="1.42578125" style="51" customWidth="1"/>
    <col min="2344" max="2344" width="6.42578125" style="51" customWidth="1"/>
    <col min="2345" max="2346" width="8.7109375" style="51" bestFit="1" customWidth="1"/>
    <col min="2347" max="2580" width="9.140625" style="51"/>
    <col min="2581" max="2581" width="1.140625" style="51" customWidth="1"/>
    <col min="2582" max="2582" width="7.5703125" style="51" customWidth="1"/>
    <col min="2583" max="2597" width="7.140625" style="51" customWidth="1"/>
    <col min="2598" max="2599" width="1.42578125" style="51" customWidth="1"/>
    <col min="2600" max="2600" width="6.42578125" style="51" customWidth="1"/>
    <col min="2601" max="2602" width="8.7109375" style="51" bestFit="1" customWidth="1"/>
    <col min="2603" max="2836" width="9.140625" style="51"/>
    <col min="2837" max="2837" width="1.140625" style="51" customWidth="1"/>
    <col min="2838" max="2838" width="7.5703125" style="51" customWidth="1"/>
    <col min="2839" max="2853" width="7.140625" style="51" customWidth="1"/>
    <col min="2854" max="2855" width="1.42578125" style="51" customWidth="1"/>
    <col min="2856" max="2856" width="6.42578125" style="51" customWidth="1"/>
    <col min="2857" max="2858" width="8.7109375" style="51" bestFit="1" customWidth="1"/>
    <col min="2859" max="3092" width="9.140625" style="51"/>
    <col min="3093" max="3093" width="1.140625" style="51" customWidth="1"/>
    <col min="3094" max="3094" width="7.5703125" style="51" customWidth="1"/>
    <col min="3095" max="3109" width="7.140625" style="51" customWidth="1"/>
    <col min="3110" max="3111" width="1.42578125" style="51" customWidth="1"/>
    <col min="3112" max="3112" width="6.42578125" style="51" customWidth="1"/>
    <col min="3113" max="3114" width="8.7109375" style="51" bestFit="1" customWidth="1"/>
    <col min="3115" max="3348" width="9.140625" style="51"/>
    <col min="3349" max="3349" width="1.140625" style="51" customWidth="1"/>
    <col min="3350" max="3350" width="7.5703125" style="51" customWidth="1"/>
    <col min="3351" max="3365" width="7.140625" style="51" customWidth="1"/>
    <col min="3366" max="3367" width="1.42578125" style="51" customWidth="1"/>
    <col min="3368" max="3368" width="6.42578125" style="51" customWidth="1"/>
    <col min="3369" max="3370" width="8.7109375" style="51" bestFit="1" customWidth="1"/>
    <col min="3371" max="3604" width="9.140625" style="51"/>
    <col min="3605" max="3605" width="1.140625" style="51" customWidth="1"/>
    <col min="3606" max="3606" width="7.5703125" style="51" customWidth="1"/>
    <col min="3607" max="3621" width="7.140625" style="51" customWidth="1"/>
    <col min="3622" max="3623" width="1.42578125" style="51" customWidth="1"/>
    <col min="3624" max="3624" width="6.42578125" style="51" customWidth="1"/>
    <col min="3625" max="3626" width="8.7109375" style="51" bestFit="1" customWidth="1"/>
    <col min="3627" max="3860" width="9.140625" style="51"/>
    <col min="3861" max="3861" width="1.140625" style="51" customWidth="1"/>
    <col min="3862" max="3862" width="7.5703125" style="51" customWidth="1"/>
    <col min="3863" max="3877" width="7.140625" style="51" customWidth="1"/>
    <col min="3878" max="3879" width="1.42578125" style="51" customWidth="1"/>
    <col min="3880" max="3880" width="6.42578125" style="51" customWidth="1"/>
    <col min="3881" max="3882" width="8.7109375" style="51" bestFit="1" customWidth="1"/>
    <col min="3883" max="4116" width="9.140625" style="51"/>
    <col min="4117" max="4117" width="1.140625" style="51" customWidth="1"/>
    <col min="4118" max="4118" width="7.5703125" style="51" customWidth="1"/>
    <col min="4119" max="4133" width="7.140625" style="51" customWidth="1"/>
    <col min="4134" max="4135" width="1.42578125" style="51" customWidth="1"/>
    <col min="4136" max="4136" width="6.42578125" style="51" customWidth="1"/>
    <col min="4137" max="4138" width="8.7109375" style="51" bestFit="1" customWidth="1"/>
    <col min="4139" max="4372" width="9.140625" style="51"/>
    <col min="4373" max="4373" width="1.140625" style="51" customWidth="1"/>
    <col min="4374" max="4374" width="7.5703125" style="51" customWidth="1"/>
    <col min="4375" max="4389" width="7.140625" style="51" customWidth="1"/>
    <col min="4390" max="4391" width="1.42578125" style="51" customWidth="1"/>
    <col min="4392" max="4392" width="6.42578125" style="51" customWidth="1"/>
    <col min="4393" max="4394" width="8.7109375" style="51" bestFit="1" customWidth="1"/>
    <col min="4395" max="4628" width="9.140625" style="51"/>
    <col min="4629" max="4629" width="1.140625" style="51" customWidth="1"/>
    <col min="4630" max="4630" width="7.5703125" style="51" customWidth="1"/>
    <col min="4631" max="4645" width="7.140625" style="51" customWidth="1"/>
    <col min="4646" max="4647" width="1.42578125" style="51" customWidth="1"/>
    <col min="4648" max="4648" width="6.42578125" style="51" customWidth="1"/>
    <col min="4649" max="4650" width="8.7109375" style="51" bestFit="1" customWidth="1"/>
    <col min="4651" max="4884" width="9.140625" style="51"/>
    <col min="4885" max="4885" width="1.140625" style="51" customWidth="1"/>
    <col min="4886" max="4886" width="7.5703125" style="51" customWidth="1"/>
    <col min="4887" max="4901" width="7.140625" style="51" customWidth="1"/>
    <col min="4902" max="4903" width="1.42578125" style="51" customWidth="1"/>
    <col min="4904" max="4904" width="6.42578125" style="51" customWidth="1"/>
    <col min="4905" max="4906" width="8.7109375" style="51" bestFit="1" customWidth="1"/>
    <col min="4907" max="5140" width="9.140625" style="51"/>
    <col min="5141" max="5141" width="1.140625" style="51" customWidth="1"/>
    <col min="5142" max="5142" width="7.5703125" style="51" customWidth="1"/>
    <col min="5143" max="5157" width="7.140625" style="51" customWidth="1"/>
    <col min="5158" max="5159" width="1.42578125" style="51" customWidth="1"/>
    <col min="5160" max="5160" width="6.42578125" style="51" customWidth="1"/>
    <col min="5161" max="5162" width="8.7109375" style="51" bestFit="1" customWidth="1"/>
    <col min="5163" max="5396" width="9.140625" style="51"/>
    <col min="5397" max="5397" width="1.140625" style="51" customWidth="1"/>
    <col min="5398" max="5398" width="7.5703125" style="51" customWidth="1"/>
    <col min="5399" max="5413" width="7.140625" style="51" customWidth="1"/>
    <col min="5414" max="5415" width="1.42578125" style="51" customWidth="1"/>
    <col min="5416" max="5416" width="6.42578125" style="51" customWidth="1"/>
    <col min="5417" max="5418" width="8.7109375" style="51" bestFit="1" customWidth="1"/>
    <col min="5419" max="5652" width="9.140625" style="51"/>
    <col min="5653" max="5653" width="1.140625" style="51" customWidth="1"/>
    <col min="5654" max="5654" width="7.5703125" style="51" customWidth="1"/>
    <col min="5655" max="5669" width="7.140625" style="51" customWidth="1"/>
    <col min="5670" max="5671" width="1.42578125" style="51" customWidth="1"/>
    <col min="5672" max="5672" width="6.42578125" style="51" customWidth="1"/>
    <col min="5673" max="5674" width="8.7109375" style="51" bestFit="1" customWidth="1"/>
    <col min="5675" max="5908" width="9.140625" style="51"/>
    <col min="5909" max="5909" width="1.140625" style="51" customWidth="1"/>
    <col min="5910" max="5910" width="7.5703125" style="51" customWidth="1"/>
    <col min="5911" max="5925" width="7.140625" style="51" customWidth="1"/>
    <col min="5926" max="5927" width="1.42578125" style="51" customWidth="1"/>
    <col min="5928" max="5928" width="6.42578125" style="51" customWidth="1"/>
    <col min="5929" max="5930" width="8.7109375" style="51" bestFit="1" customWidth="1"/>
    <col min="5931" max="6164" width="9.140625" style="51"/>
    <col min="6165" max="6165" width="1.140625" style="51" customWidth="1"/>
    <col min="6166" max="6166" width="7.5703125" style="51" customWidth="1"/>
    <col min="6167" max="6181" width="7.140625" style="51" customWidth="1"/>
    <col min="6182" max="6183" width="1.42578125" style="51" customWidth="1"/>
    <col min="6184" max="6184" width="6.42578125" style="51" customWidth="1"/>
    <col min="6185" max="6186" width="8.7109375" style="51" bestFit="1" customWidth="1"/>
    <col min="6187" max="6420" width="9.140625" style="51"/>
    <col min="6421" max="6421" width="1.140625" style="51" customWidth="1"/>
    <col min="6422" max="6422" width="7.5703125" style="51" customWidth="1"/>
    <col min="6423" max="6437" width="7.140625" style="51" customWidth="1"/>
    <col min="6438" max="6439" width="1.42578125" style="51" customWidth="1"/>
    <col min="6440" max="6440" width="6.42578125" style="51" customWidth="1"/>
    <col min="6441" max="6442" width="8.7109375" style="51" bestFit="1" customWidth="1"/>
    <col min="6443" max="6676" width="9.140625" style="51"/>
    <col min="6677" max="6677" width="1.140625" style="51" customWidth="1"/>
    <col min="6678" max="6678" width="7.5703125" style="51" customWidth="1"/>
    <col min="6679" max="6693" width="7.140625" style="51" customWidth="1"/>
    <col min="6694" max="6695" width="1.42578125" style="51" customWidth="1"/>
    <col min="6696" max="6696" width="6.42578125" style="51" customWidth="1"/>
    <col min="6697" max="6698" width="8.7109375" style="51" bestFit="1" customWidth="1"/>
    <col min="6699" max="6932" width="9.140625" style="51"/>
    <col min="6933" max="6933" width="1.140625" style="51" customWidth="1"/>
    <col min="6934" max="6934" width="7.5703125" style="51" customWidth="1"/>
    <col min="6935" max="6949" width="7.140625" style="51" customWidth="1"/>
    <col min="6950" max="6951" width="1.42578125" style="51" customWidth="1"/>
    <col min="6952" max="6952" width="6.42578125" style="51" customWidth="1"/>
    <col min="6953" max="6954" width="8.7109375" style="51" bestFit="1" customWidth="1"/>
    <col min="6955" max="7188" width="9.140625" style="51"/>
    <col min="7189" max="7189" width="1.140625" style="51" customWidth="1"/>
    <col min="7190" max="7190" width="7.5703125" style="51" customWidth="1"/>
    <col min="7191" max="7205" width="7.140625" style="51" customWidth="1"/>
    <col min="7206" max="7207" width="1.42578125" style="51" customWidth="1"/>
    <col min="7208" max="7208" width="6.42578125" style="51" customWidth="1"/>
    <col min="7209" max="7210" width="8.7109375" style="51" bestFit="1" customWidth="1"/>
    <col min="7211" max="7444" width="9.140625" style="51"/>
    <col min="7445" max="7445" width="1.140625" style="51" customWidth="1"/>
    <col min="7446" max="7446" width="7.5703125" style="51" customWidth="1"/>
    <col min="7447" max="7461" width="7.140625" style="51" customWidth="1"/>
    <col min="7462" max="7463" width="1.42578125" style="51" customWidth="1"/>
    <col min="7464" max="7464" width="6.42578125" style="51" customWidth="1"/>
    <col min="7465" max="7466" width="8.7109375" style="51" bestFit="1" customWidth="1"/>
    <col min="7467" max="7700" width="9.140625" style="51"/>
    <col min="7701" max="7701" width="1.140625" style="51" customWidth="1"/>
    <col min="7702" max="7702" width="7.5703125" style="51" customWidth="1"/>
    <col min="7703" max="7717" width="7.140625" style="51" customWidth="1"/>
    <col min="7718" max="7719" width="1.42578125" style="51" customWidth="1"/>
    <col min="7720" max="7720" width="6.42578125" style="51" customWidth="1"/>
    <col min="7721" max="7722" width="8.7109375" style="51" bestFit="1" customWidth="1"/>
    <col min="7723" max="7956" width="9.140625" style="51"/>
    <col min="7957" max="7957" width="1.140625" style="51" customWidth="1"/>
    <col min="7958" max="7958" width="7.5703125" style="51" customWidth="1"/>
    <col min="7959" max="7973" width="7.140625" style="51" customWidth="1"/>
    <col min="7974" max="7975" width="1.42578125" style="51" customWidth="1"/>
    <col min="7976" max="7976" width="6.42578125" style="51" customWidth="1"/>
    <col min="7977" max="7978" width="8.7109375" style="51" bestFit="1" customWidth="1"/>
    <col min="7979" max="8212" width="9.140625" style="51"/>
    <col min="8213" max="8213" width="1.140625" style="51" customWidth="1"/>
    <col min="8214" max="8214" width="7.5703125" style="51" customWidth="1"/>
    <col min="8215" max="8229" width="7.140625" style="51" customWidth="1"/>
    <col min="8230" max="8231" width="1.42578125" style="51" customWidth="1"/>
    <col min="8232" max="8232" width="6.42578125" style="51" customWidth="1"/>
    <col min="8233" max="8234" width="8.7109375" style="51" bestFit="1" customWidth="1"/>
    <col min="8235" max="8468" width="9.140625" style="51"/>
    <col min="8469" max="8469" width="1.140625" style="51" customWidth="1"/>
    <col min="8470" max="8470" width="7.5703125" style="51" customWidth="1"/>
    <col min="8471" max="8485" width="7.140625" style="51" customWidth="1"/>
    <col min="8486" max="8487" width="1.42578125" style="51" customWidth="1"/>
    <col min="8488" max="8488" width="6.42578125" style="51" customWidth="1"/>
    <col min="8489" max="8490" width="8.7109375" style="51" bestFit="1" customWidth="1"/>
    <col min="8491" max="8724" width="9.140625" style="51"/>
    <col min="8725" max="8725" width="1.140625" style="51" customWidth="1"/>
    <col min="8726" max="8726" width="7.5703125" style="51" customWidth="1"/>
    <col min="8727" max="8741" width="7.140625" style="51" customWidth="1"/>
    <col min="8742" max="8743" width="1.42578125" style="51" customWidth="1"/>
    <col min="8744" max="8744" width="6.42578125" style="51" customWidth="1"/>
    <col min="8745" max="8746" width="8.7109375" style="51" bestFit="1" customWidth="1"/>
    <col min="8747" max="8980" width="9.140625" style="51"/>
    <col min="8981" max="8981" width="1.140625" style="51" customWidth="1"/>
    <col min="8982" max="8982" width="7.5703125" style="51" customWidth="1"/>
    <col min="8983" max="8997" width="7.140625" style="51" customWidth="1"/>
    <col min="8998" max="8999" width="1.42578125" style="51" customWidth="1"/>
    <col min="9000" max="9000" width="6.42578125" style="51" customWidth="1"/>
    <col min="9001" max="9002" width="8.7109375" style="51" bestFit="1" customWidth="1"/>
    <col min="9003" max="9236" width="9.140625" style="51"/>
    <col min="9237" max="9237" width="1.140625" style="51" customWidth="1"/>
    <col min="9238" max="9238" width="7.5703125" style="51" customWidth="1"/>
    <col min="9239" max="9253" width="7.140625" style="51" customWidth="1"/>
    <col min="9254" max="9255" width="1.42578125" style="51" customWidth="1"/>
    <col min="9256" max="9256" width="6.42578125" style="51" customWidth="1"/>
    <col min="9257" max="9258" width="8.7109375" style="51" bestFit="1" customWidth="1"/>
    <col min="9259" max="9492" width="9.140625" style="51"/>
    <col min="9493" max="9493" width="1.140625" style="51" customWidth="1"/>
    <col min="9494" max="9494" width="7.5703125" style="51" customWidth="1"/>
    <col min="9495" max="9509" width="7.140625" style="51" customWidth="1"/>
    <col min="9510" max="9511" width="1.42578125" style="51" customWidth="1"/>
    <col min="9512" max="9512" width="6.42578125" style="51" customWidth="1"/>
    <col min="9513" max="9514" width="8.7109375" style="51" bestFit="1" customWidth="1"/>
    <col min="9515" max="9748" width="9.140625" style="51"/>
    <col min="9749" max="9749" width="1.140625" style="51" customWidth="1"/>
    <col min="9750" max="9750" width="7.5703125" style="51" customWidth="1"/>
    <col min="9751" max="9765" width="7.140625" style="51" customWidth="1"/>
    <col min="9766" max="9767" width="1.42578125" style="51" customWidth="1"/>
    <col min="9768" max="9768" width="6.42578125" style="51" customWidth="1"/>
    <col min="9769" max="9770" width="8.7109375" style="51" bestFit="1" customWidth="1"/>
    <col min="9771" max="10004" width="9.140625" style="51"/>
    <col min="10005" max="10005" width="1.140625" style="51" customWidth="1"/>
    <col min="10006" max="10006" width="7.5703125" style="51" customWidth="1"/>
    <col min="10007" max="10021" width="7.140625" style="51" customWidth="1"/>
    <col min="10022" max="10023" width="1.42578125" style="51" customWidth="1"/>
    <col min="10024" max="10024" width="6.42578125" style="51" customWidth="1"/>
    <col min="10025" max="10026" width="8.7109375" style="51" bestFit="1" customWidth="1"/>
    <col min="10027" max="10260" width="9.140625" style="51"/>
    <col min="10261" max="10261" width="1.140625" style="51" customWidth="1"/>
    <col min="10262" max="10262" width="7.5703125" style="51" customWidth="1"/>
    <col min="10263" max="10277" width="7.140625" style="51" customWidth="1"/>
    <col min="10278" max="10279" width="1.42578125" style="51" customWidth="1"/>
    <col min="10280" max="10280" width="6.42578125" style="51" customWidth="1"/>
    <col min="10281" max="10282" width="8.7109375" style="51" bestFit="1" customWidth="1"/>
    <col min="10283" max="10516" width="9.140625" style="51"/>
    <col min="10517" max="10517" width="1.140625" style="51" customWidth="1"/>
    <col min="10518" max="10518" width="7.5703125" style="51" customWidth="1"/>
    <col min="10519" max="10533" width="7.140625" style="51" customWidth="1"/>
    <col min="10534" max="10535" width="1.42578125" style="51" customWidth="1"/>
    <col min="10536" max="10536" width="6.42578125" style="51" customWidth="1"/>
    <col min="10537" max="10538" width="8.7109375" style="51" bestFit="1" customWidth="1"/>
    <col min="10539" max="10772" width="9.140625" style="51"/>
    <col min="10773" max="10773" width="1.140625" style="51" customWidth="1"/>
    <col min="10774" max="10774" width="7.5703125" style="51" customWidth="1"/>
    <col min="10775" max="10789" width="7.140625" style="51" customWidth="1"/>
    <col min="10790" max="10791" width="1.42578125" style="51" customWidth="1"/>
    <col min="10792" max="10792" width="6.42578125" style="51" customWidth="1"/>
    <col min="10793" max="10794" width="8.7109375" style="51" bestFit="1" customWidth="1"/>
    <col min="10795" max="11028" width="9.140625" style="51"/>
    <col min="11029" max="11029" width="1.140625" style="51" customWidth="1"/>
    <col min="11030" max="11030" width="7.5703125" style="51" customWidth="1"/>
    <col min="11031" max="11045" width="7.140625" style="51" customWidth="1"/>
    <col min="11046" max="11047" width="1.42578125" style="51" customWidth="1"/>
    <col min="11048" max="11048" width="6.42578125" style="51" customWidth="1"/>
    <col min="11049" max="11050" width="8.7109375" style="51" bestFit="1" customWidth="1"/>
    <col min="11051" max="11284" width="9.140625" style="51"/>
    <col min="11285" max="11285" width="1.140625" style="51" customWidth="1"/>
    <col min="11286" max="11286" width="7.5703125" style="51" customWidth="1"/>
    <col min="11287" max="11301" width="7.140625" style="51" customWidth="1"/>
    <col min="11302" max="11303" width="1.42578125" style="51" customWidth="1"/>
    <col min="11304" max="11304" width="6.42578125" style="51" customWidth="1"/>
    <col min="11305" max="11306" width="8.7109375" style="51" bestFit="1" customWidth="1"/>
    <col min="11307" max="11540" width="9.140625" style="51"/>
    <col min="11541" max="11541" width="1.140625" style="51" customWidth="1"/>
    <col min="11542" max="11542" width="7.5703125" style="51" customWidth="1"/>
    <col min="11543" max="11557" width="7.140625" style="51" customWidth="1"/>
    <col min="11558" max="11559" width="1.42578125" style="51" customWidth="1"/>
    <col min="11560" max="11560" width="6.42578125" style="51" customWidth="1"/>
    <col min="11561" max="11562" width="8.7109375" style="51" bestFit="1" customWidth="1"/>
    <col min="11563" max="11796" width="9.140625" style="51"/>
    <col min="11797" max="11797" width="1.140625" style="51" customWidth="1"/>
    <col min="11798" max="11798" width="7.5703125" style="51" customWidth="1"/>
    <col min="11799" max="11813" width="7.140625" style="51" customWidth="1"/>
    <col min="11814" max="11815" width="1.42578125" style="51" customWidth="1"/>
    <col min="11816" max="11816" width="6.42578125" style="51" customWidth="1"/>
    <col min="11817" max="11818" width="8.7109375" style="51" bestFit="1" customWidth="1"/>
    <col min="11819" max="12052" width="9.140625" style="51"/>
    <col min="12053" max="12053" width="1.140625" style="51" customWidth="1"/>
    <col min="12054" max="12054" width="7.5703125" style="51" customWidth="1"/>
    <col min="12055" max="12069" width="7.140625" style="51" customWidth="1"/>
    <col min="12070" max="12071" width="1.42578125" style="51" customWidth="1"/>
    <col min="12072" max="12072" width="6.42578125" style="51" customWidth="1"/>
    <col min="12073" max="12074" width="8.7109375" style="51" bestFit="1" customWidth="1"/>
    <col min="12075" max="12308" width="9.140625" style="51"/>
    <col min="12309" max="12309" width="1.140625" style="51" customWidth="1"/>
    <col min="12310" max="12310" width="7.5703125" style="51" customWidth="1"/>
    <col min="12311" max="12325" width="7.140625" style="51" customWidth="1"/>
    <col min="12326" max="12327" width="1.42578125" style="51" customWidth="1"/>
    <col min="12328" max="12328" width="6.42578125" style="51" customWidth="1"/>
    <col min="12329" max="12330" width="8.7109375" style="51" bestFit="1" customWidth="1"/>
    <col min="12331" max="12564" width="9.140625" style="51"/>
    <col min="12565" max="12565" width="1.140625" style="51" customWidth="1"/>
    <col min="12566" max="12566" width="7.5703125" style="51" customWidth="1"/>
    <col min="12567" max="12581" width="7.140625" style="51" customWidth="1"/>
    <col min="12582" max="12583" width="1.42578125" style="51" customWidth="1"/>
    <col min="12584" max="12584" width="6.42578125" style="51" customWidth="1"/>
    <col min="12585" max="12586" width="8.7109375" style="51" bestFit="1" customWidth="1"/>
    <col min="12587" max="12820" width="9.140625" style="51"/>
    <col min="12821" max="12821" width="1.140625" style="51" customWidth="1"/>
    <col min="12822" max="12822" width="7.5703125" style="51" customWidth="1"/>
    <col min="12823" max="12837" width="7.140625" style="51" customWidth="1"/>
    <col min="12838" max="12839" width="1.42578125" style="51" customWidth="1"/>
    <col min="12840" max="12840" width="6.42578125" style="51" customWidth="1"/>
    <col min="12841" max="12842" width="8.7109375" style="51" bestFit="1" customWidth="1"/>
    <col min="12843" max="13076" width="9.140625" style="51"/>
    <col min="13077" max="13077" width="1.140625" style="51" customWidth="1"/>
    <col min="13078" max="13078" width="7.5703125" style="51" customWidth="1"/>
    <col min="13079" max="13093" width="7.140625" style="51" customWidth="1"/>
    <col min="13094" max="13095" width="1.42578125" style="51" customWidth="1"/>
    <col min="13096" max="13096" width="6.42578125" style="51" customWidth="1"/>
    <col min="13097" max="13098" width="8.7109375" style="51" bestFit="1" customWidth="1"/>
    <col min="13099" max="13332" width="9.140625" style="51"/>
    <col min="13333" max="13333" width="1.140625" style="51" customWidth="1"/>
    <col min="13334" max="13334" width="7.5703125" style="51" customWidth="1"/>
    <col min="13335" max="13349" width="7.140625" style="51" customWidth="1"/>
    <col min="13350" max="13351" width="1.42578125" style="51" customWidth="1"/>
    <col min="13352" max="13352" width="6.42578125" style="51" customWidth="1"/>
    <col min="13353" max="13354" width="8.7109375" style="51" bestFit="1" customWidth="1"/>
    <col min="13355" max="13588" width="9.140625" style="51"/>
    <col min="13589" max="13589" width="1.140625" style="51" customWidth="1"/>
    <col min="13590" max="13590" width="7.5703125" style="51" customWidth="1"/>
    <col min="13591" max="13605" width="7.140625" style="51" customWidth="1"/>
    <col min="13606" max="13607" width="1.42578125" style="51" customWidth="1"/>
    <col min="13608" max="13608" width="6.42578125" style="51" customWidth="1"/>
    <col min="13609" max="13610" width="8.7109375" style="51" bestFit="1" customWidth="1"/>
    <col min="13611" max="13844" width="9.140625" style="51"/>
    <col min="13845" max="13845" width="1.140625" style="51" customWidth="1"/>
    <col min="13846" max="13846" width="7.5703125" style="51" customWidth="1"/>
    <col min="13847" max="13861" width="7.140625" style="51" customWidth="1"/>
    <col min="13862" max="13863" width="1.42578125" style="51" customWidth="1"/>
    <col min="13864" max="13864" width="6.42578125" style="51" customWidth="1"/>
    <col min="13865" max="13866" width="8.7109375" style="51" bestFit="1" customWidth="1"/>
    <col min="13867" max="14100" width="9.140625" style="51"/>
    <col min="14101" max="14101" width="1.140625" style="51" customWidth="1"/>
    <col min="14102" max="14102" width="7.5703125" style="51" customWidth="1"/>
    <col min="14103" max="14117" width="7.140625" style="51" customWidth="1"/>
    <col min="14118" max="14119" width="1.42578125" style="51" customWidth="1"/>
    <col min="14120" max="14120" width="6.42578125" style="51" customWidth="1"/>
    <col min="14121" max="14122" width="8.7109375" style="51" bestFit="1" customWidth="1"/>
    <col min="14123" max="14356" width="9.140625" style="51"/>
    <col min="14357" max="14357" width="1.140625" style="51" customWidth="1"/>
    <col min="14358" max="14358" width="7.5703125" style="51" customWidth="1"/>
    <col min="14359" max="14373" width="7.140625" style="51" customWidth="1"/>
    <col min="14374" max="14375" width="1.42578125" style="51" customWidth="1"/>
    <col min="14376" max="14376" width="6.42578125" style="51" customWidth="1"/>
    <col min="14377" max="14378" width="8.7109375" style="51" bestFit="1" customWidth="1"/>
    <col min="14379" max="14612" width="9.140625" style="51"/>
    <col min="14613" max="14613" width="1.140625" style="51" customWidth="1"/>
    <col min="14614" max="14614" width="7.5703125" style="51" customWidth="1"/>
    <col min="14615" max="14629" width="7.140625" style="51" customWidth="1"/>
    <col min="14630" max="14631" width="1.42578125" style="51" customWidth="1"/>
    <col min="14632" max="14632" width="6.42578125" style="51" customWidth="1"/>
    <col min="14633" max="14634" width="8.7109375" style="51" bestFit="1" customWidth="1"/>
    <col min="14635" max="14868" width="9.140625" style="51"/>
    <col min="14869" max="14869" width="1.140625" style="51" customWidth="1"/>
    <col min="14870" max="14870" width="7.5703125" style="51" customWidth="1"/>
    <col min="14871" max="14885" width="7.140625" style="51" customWidth="1"/>
    <col min="14886" max="14887" width="1.42578125" style="51" customWidth="1"/>
    <col min="14888" max="14888" width="6.42578125" style="51" customWidth="1"/>
    <col min="14889" max="14890" width="8.7109375" style="51" bestFit="1" customWidth="1"/>
    <col min="14891" max="15124" width="9.140625" style="51"/>
    <col min="15125" max="15125" width="1.140625" style="51" customWidth="1"/>
    <col min="15126" max="15126" width="7.5703125" style="51" customWidth="1"/>
    <col min="15127" max="15141" width="7.140625" style="51" customWidth="1"/>
    <col min="15142" max="15143" width="1.42578125" style="51" customWidth="1"/>
    <col min="15144" max="15144" width="6.42578125" style="51" customWidth="1"/>
    <col min="15145" max="15146" width="8.7109375" style="51" bestFit="1" customWidth="1"/>
    <col min="15147" max="15380" width="9.140625" style="51"/>
    <col min="15381" max="15381" width="1.140625" style="51" customWidth="1"/>
    <col min="15382" max="15382" width="7.5703125" style="51" customWidth="1"/>
    <col min="15383" max="15397" width="7.140625" style="51" customWidth="1"/>
    <col min="15398" max="15399" width="1.42578125" style="51" customWidth="1"/>
    <col min="15400" max="15400" width="6.42578125" style="51" customWidth="1"/>
    <col min="15401" max="15402" width="8.7109375" style="51" bestFit="1" customWidth="1"/>
    <col min="15403" max="15636" width="9.140625" style="51"/>
    <col min="15637" max="15637" width="1.140625" style="51" customWidth="1"/>
    <col min="15638" max="15638" width="7.5703125" style="51" customWidth="1"/>
    <col min="15639" max="15653" width="7.140625" style="51" customWidth="1"/>
    <col min="15654" max="15655" width="1.42578125" style="51" customWidth="1"/>
    <col min="15656" max="15656" width="6.42578125" style="51" customWidth="1"/>
    <col min="15657" max="15658" width="8.7109375" style="51" bestFit="1" customWidth="1"/>
    <col min="15659" max="15892" width="9.140625" style="51"/>
    <col min="15893" max="15893" width="1.140625" style="51" customWidth="1"/>
    <col min="15894" max="15894" width="7.5703125" style="51" customWidth="1"/>
    <col min="15895" max="15909" width="7.140625" style="51" customWidth="1"/>
    <col min="15910" max="15911" width="1.42578125" style="51" customWidth="1"/>
    <col min="15912" max="15912" width="6.42578125" style="51" customWidth="1"/>
    <col min="15913" max="15914" width="8.7109375" style="51" bestFit="1" customWidth="1"/>
    <col min="15915" max="16148" width="9.140625" style="51"/>
    <col min="16149" max="16149" width="1.140625" style="51" customWidth="1"/>
    <col min="16150" max="16150" width="7.5703125" style="51" customWidth="1"/>
    <col min="16151" max="16165" width="7.140625" style="51" customWidth="1"/>
    <col min="16166" max="16167" width="1.42578125" style="51" customWidth="1"/>
    <col min="16168" max="16168" width="6.42578125" style="51" customWidth="1"/>
    <col min="16169" max="16170" width="8.7109375" style="51" bestFit="1" customWidth="1"/>
    <col min="16171" max="16384" width="9.140625" style="51"/>
  </cols>
  <sheetData>
    <row r="1" spans="1:50" ht="18" customHeight="1"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50" ht="33" customHeight="1">
      <c r="B2" s="462" t="s">
        <v>43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</row>
    <row r="3" spans="1:50" ht="9.75" customHeight="1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5"/>
      <c r="AE3" s="55"/>
      <c r="AF3" s="55"/>
      <c r="AG3" s="55"/>
      <c r="AH3" s="56"/>
      <c r="AI3" s="56"/>
      <c r="AJ3" s="57"/>
      <c r="AK3" s="57"/>
      <c r="AO3" s="58"/>
    </row>
    <row r="4" spans="1:50" ht="9.75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5"/>
      <c r="AE4" s="55"/>
      <c r="AF4" s="55"/>
      <c r="AG4" s="55"/>
      <c r="AH4" s="56"/>
      <c r="AI4" s="56"/>
      <c r="AJ4" s="57"/>
      <c r="AK4" s="57"/>
      <c r="AO4" s="58"/>
    </row>
    <row r="5" spans="1:50" s="121" customFormat="1" ht="18" customHeight="1">
      <c r="B5" s="463" t="s">
        <v>16</v>
      </c>
      <c r="C5" s="463"/>
      <c r="D5" s="59" t="s">
        <v>17</v>
      </c>
      <c r="E5" s="346">
        <v>22</v>
      </c>
      <c r="F5" s="346"/>
      <c r="G5" s="60" t="s">
        <v>18</v>
      </c>
      <c r="H5" s="59" t="s">
        <v>19</v>
      </c>
      <c r="I5" s="346">
        <v>4.5</v>
      </c>
      <c r="J5" s="346"/>
      <c r="K5" s="347" t="s">
        <v>20</v>
      </c>
      <c r="L5" s="347"/>
      <c r="Q5" s="384" t="s">
        <v>25</v>
      </c>
      <c r="R5" s="385"/>
      <c r="X5" s="124"/>
      <c r="AD5" s="125"/>
      <c r="AH5" s="25"/>
      <c r="AI5" s="61">
        <v>0.2</v>
      </c>
      <c r="AJ5" s="26"/>
      <c r="AK5" s="26"/>
      <c r="AL5" s="26"/>
      <c r="AM5" s="26"/>
    </row>
    <row r="6" spans="1:50" s="121" customFormat="1" ht="18" customHeight="1">
      <c r="B6" s="124" t="s">
        <v>23</v>
      </c>
      <c r="C6" s="124"/>
      <c r="D6" s="361">
        <v>60</v>
      </c>
      <c r="E6" s="361"/>
      <c r="F6" s="124"/>
      <c r="Q6" s="33">
        <v>0.2</v>
      </c>
      <c r="R6" s="34">
        <v>1.1000000000000001</v>
      </c>
      <c r="AH6" s="25"/>
      <c r="AI6" s="61">
        <v>0.25</v>
      </c>
      <c r="AJ6" s="28"/>
      <c r="AK6" s="28"/>
      <c r="AL6" s="28"/>
      <c r="AM6" s="28"/>
    </row>
    <row r="7" spans="1:50" s="121" customFormat="1" ht="18" customHeight="1">
      <c r="B7" s="29" t="s">
        <v>26</v>
      </c>
      <c r="D7" s="361">
        <v>16</v>
      </c>
      <c r="E7" s="361"/>
      <c r="F7" s="27"/>
      <c r="G7" s="124" t="s">
        <v>21</v>
      </c>
      <c r="H7" s="124"/>
      <c r="I7" s="62">
        <f>(E5-(3*I9))+(0.866025*I5)</f>
        <v>18.102883865940051</v>
      </c>
      <c r="J7" s="124" t="s">
        <v>22</v>
      </c>
      <c r="K7" s="124"/>
      <c r="N7" s="123"/>
      <c r="O7" s="123"/>
      <c r="P7" s="32"/>
      <c r="Q7" s="33">
        <v>0.25</v>
      </c>
      <c r="R7" s="34">
        <v>1.35</v>
      </c>
      <c r="AD7" s="125"/>
      <c r="AH7" s="25"/>
      <c r="AI7" s="61">
        <v>0.28000000000000003</v>
      </c>
      <c r="AJ7" s="28"/>
      <c r="AK7" s="28"/>
      <c r="AL7" s="28"/>
      <c r="AM7" s="28"/>
    </row>
    <row r="8" spans="1:50" ht="18" customHeight="1">
      <c r="B8" s="54"/>
      <c r="C8" s="54"/>
      <c r="D8" s="54"/>
      <c r="E8" s="54"/>
      <c r="F8" s="54"/>
      <c r="G8" s="464" t="s">
        <v>24</v>
      </c>
      <c r="H8" s="464"/>
      <c r="I8" s="122">
        <v>2.5499999999999998</v>
      </c>
      <c r="J8" s="120" t="s">
        <v>22</v>
      </c>
      <c r="K8" s="120"/>
      <c r="N8" s="54"/>
      <c r="O8" s="54"/>
      <c r="P8" s="54"/>
      <c r="Q8" s="33">
        <v>0.28000000000000003</v>
      </c>
      <c r="R8" s="34">
        <v>1.65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5"/>
      <c r="AE8" s="55"/>
      <c r="AF8" s="55"/>
      <c r="AG8" s="55"/>
      <c r="AH8" s="56"/>
      <c r="AI8" s="56"/>
      <c r="AJ8" s="57"/>
      <c r="AK8" s="57"/>
      <c r="AO8" s="58"/>
    </row>
    <row r="9" spans="1:50" ht="18" customHeight="1">
      <c r="B9" s="54"/>
      <c r="C9" s="54"/>
      <c r="D9" s="54"/>
      <c r="E9" s="54"/>
      <c r="F9" s="54"/>
      <c r="G9" s="463" t="s">
        <v>27</v>
      </c>
      <c r="H9" s="463"/>
      <c r="I9" s="119">
        <f>1/(COS(([4]Data!H20/2)*PI()/180))*(I5/2)</f>
        <v>2.598076211353316</v>
      </c>
      <c r="J9" s="120" t="s">
        <v>22</v>
      </c>
      <c r="K9" s="120"/>
      <c r="N9" s="54"/>
      <c r="O9" s="54"/>
      <c r="P9" s="54"/>
      <c r="Q9" s="33">
        <v>0.45500000000000002</v>
      </c>
      <c r="R9" s="34">
        <v>2.0499999999999998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5"/>
      <c r="AF9" s="55"/>
      <c r="AG9" s="55"/>
      <c r="AH9" s="56"/>
      <c r="AI9" s="56"/>
      <c r="AJ9" s="57"/>
      <c r="AK9" s="57"/>
      <c r="AO9" s="58"/>
    </row>
    <row r="10" spans="1:50" ht="18" customHeight="1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4">
        <v>0.53</v>
      </c>
      <c r="R10" s="34">
        <v>2.5499999999999998</v>
      </c>
      <c r="S10" s="52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7"/>
      <c r="AE10" s="57"/>
      <c r="AF10" s="57"/>
      <c r="AG10" s="57"/>
      <c r="AL10" s="57" t="s">
        <v>44</v>
      </c>
    </row>
    <row r="11" spans="1:50" ht="18" customHeight="1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7" t="s">
        <v>44</v>
      </c>
      <c r="P11" s="54"/>
      <c r="Q11" s="39">
        <v>0.62</v>
      </c>
      <c r="R11" s="34">
        <v>3.2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7"/>
      <c r="AE11" s="57"/>
      <c r="AF11" s="57"/>
      <c r="AG11" s="57"/>
      <c r="AL11" s="57"/>
    </row>
    <row r="12" spans="1:50" ht="21.75">
      <c r="B12" s="465" t="s">
        <v>45</v>
      </c>
      <c r="C12" s="467" t="s">
        <v>46</v>
      </c>
      <c r="D12" s="468"/>
      <c r="E12" s="469"/>
      <c r="F12" s="473" t="s">
        <v>47</v>
      </c>
      <c r="G12" s="474"/>
      <c r="H12" s="475" t="s">
        <v>48</v>
      </c>
      <c r="I12" s="476"/>
      <c r="J12" s="477" t="s">
        <v>49</v>
      </c>
      <c r="K12" s="478"/>
      <c r="L12" s="481" t="s">
        <v>50</v>
      </c>
      <c r="M12" s="483" t="s">
        <v>51</v>
      </c>
      <c r="N12" s="484"/>
      <c r="O12" s="485" t="s">
        <v>52</v>
      </c>
      <c r="Q12" s="39">
        <v>0.72499999999999998</v>
      </c>
      <c r="R12" s="33">
        <v>4</v>
      </c>
      <c r="AV12" s="66"/>
      <c r="AW12" s="66"/>
      <c r="AX12" s="66"/>
    </row>
    <row r="13" spans="1:50" ht="18" customHeight="1">
      <c r="B13" s="466"/>
      <c r="C13" s="470"/>
      <c r="D13" s="471"/>
      <c r="E13" s="472"/>
      <c r="F13" s="487" t="s">
        <v>53</v>
      </c>
      <c r="G13" s="488"/>
      <c r="H13" s="489" t="s">
        <v>54</v>
      </c>
      <c r="I13" s="490"/>
      <c r="J13" s="479"/>
      <c r="K13" s="480"/>
      <c r="L13" s="482"/>
      <c r="M13" s="491" t="s">
        <v>53</v>
      </c>
      <c r="N13" s="492"/>
      <c r="O13" s="486"/>
      <c r="Q13" s="34">
        <v>0.89500000000000002</v>
      </c>
      <c r="R13" s="40"/>
      <c r="AV13" s="66"/>
      <c r="AW13" s="66"/>
      <c r="AX13" s="66"/>
    </row>
    <row r="14" spans="1:50" ht="18" customHeight="1">
      <c r="B14" s="67" t="s">
        <v>55</v>
      </c>
      <c r="C14" s="495" t="s">
        <v>33</v>
      </c>
      <c r="D14" s="496"/>
      <c r="E14" s="497"/>
      <c r="F14" s="504">
        <f>[4]Data!AF26</f>
        <v>1.9999999999242846E-5</v>
      </c>
      <c r="G14" s="505"/>
      <c r="H14" s="500" t="s">
        <v>56</v>
      </c>
      <c r="I14" s="501"/>
      <c r="J14" s="500">
        <v>1</v>
      </c>
      <c r="K14" s="501"/>
      <c r="L14" s="67">
        <v>1</v>
      </c>
      <c r="M14" s="502">
        <f>F14/J14</f>
        <v>1.9999999999242846E-5</v>
      </c>
      <c r="N14" s="503"/>
      <c r="O14" s="68">
        <v>2</v>
      </c>
      <c r="Q14" s="7"/>
      <c r="R14" s="506" t="s">
        <v>149</v>
      </c>
      <c r="S14" s="493" t="s">
        <v>150</v>
      </c>
      <c r="T14" s="494"/>
      <c r="U14" s="7"/>
      <c r="V14" s="7"/>
      <c r="W14" s="7"/>
      <c r="X14" s="7"/>
      <c r="AO14" s="69"/>
      <c r="AV14" s="66"/>
      <c r="AW14" s="66"/>
      <c r="AX14" s="66"/>
    </row>
    <row r="15" spans="1:50" ht="18" customHeight="1">
      <c r="B15" s="70" t="s">
        <v>57</v>
      </c>
      <c r="C15" s="495" t="s">
        <v>58</v>
      </c>
      <c r="D15" s="496"/>
      <c r="E15" s="497"/>
      <c r="F15" s="517">
        <f>'[4]Cert of STD'!X6</f>
        <v>3.7033106020840359E-4</v>
      </c>
      <c r="G15" s="518"/>
      <c r="H15" s="500" t="s">
        <v>56</v>
      </c>
      <c r="I15" s="501"/>
      <c r="J15" s="500">
        <v>2</v>
      </c>
      <c r="K15" s="501"/>
      <c r="L15" s="67">
        <v>1</v>
      </c>
      <c r="M15" s="502">
        <f>F15/2</f>
        <v>1.8516553010420179E-4</v>
      </c>
      <c r="N15" s="503"/>
      <c r="O15" s="71"/>
      <c r="Q15" s="7"/>
      <c r="R15" s="506"/>
      <c r="S15" s="494"/>
      <c r="T15" s="494"/>
      <c r="U15" s="7"/>
      <c r="V15" s="7"/>
      <c r="W15" s="7"/>
      <c r="X15" s="7"/>
      <c r="AO15" s="69"/>
      <c r="AV15" s="66"/>
      <c r="AW15" s="66"/>
      <c r="AX15" s="66"/>
    </row>
    <row r="16" spans="1:50" ht="18" customHeight="1">
      <c r="A16" s="66"/>
      <c r="B16" s="70" t="s">
        <v>59</v>
      </c>
      <c r="C16" s="495" t="s">
        <v>60</v>
      </c>
      <c r="D16" s="496"/>
      <c r="E16" s="497"/>
      <c r="F16" s="517">
        <f>'[4]Cert of STD'!F14</f>
        <v>2.7E-4</v>
      </c>
      <c r="G16" s="518"/>
      <c r="H16" s="500" t="s">
        <v>56</v>
      </c>
      <c r="I16" s="501"/>
      <c r="J16" s="500">
        <v>2</v>
      </c>
      <c r="K16" s="501"/>
      <c r="L16" s="67">
        <v>1</v>
      </c>
      <c r="M16" s="502">
        <f>F16/J16</f>
        <v>1.35E-4</v>
      </c>
      <c r="N16" s="503"/>
      <c r="O16" s="71"/>
      <c r="Q16" s="7"/>
      <c r="R16" s="7"/>
      <c r="S16" s="493" t="s">
        <v>151</v>
      </c>
      <c r="T16" s="494" t="s">
        <v>152</v>
      </c>
      <c r="U16" s="494"/>
      <c r="V16" s="494"/>
      <c r="W16" s="7"/>
      <c r="X16" s="7"/>
      <c r="AO16" s="69"/>
      <c r="AV16" s="66"/>
      <c r="AW16" s="66"/>
      <c r="AX16" s="66"/>
    </row>
    <row r="17" spans="1:50" ht="18" customHeight="1">
      <c r="A17" s="66"/>
      <c r="B17" s="70" t="s">
        <v>61</v>
      </c>
      <c r="C17" s="495" t="s">
        <v>62</v>
      </c>
      <c r="D17" s="496"/>
      <c r="E17" s="497"/>
      <c r="F17" s="507">
        <f>(V18*1000)*2</f>
        <v>3.7932680478101926E-4</v>
      </c>
      <c r="G17" s="508"/>
      <c r="H17" s="500" t="s">
        <v>63</v>
      </c>
      <c r="I17" s="501"/>
      <c r="J17" s="509" t="s">
        <v>64</v>
      </c>
      <c r="K17" s="510"/>
      <c r="L17" s="67">
        <v>1</v>
      </c>
      <c r="M17" s="511">
        <f>F17/SQRT(3)</f>
        <v>2.190044328511621E-4</v>
      </c>
      <c r="N17" s="512"/>
      <c r="O17" s="71"/>
      <c r="Q17" s="7"/>
      <c r="R17" s="7"/>
      <c r="S17" s="494"/>
      <c r="T17" s="494"/>
      <c r="U17" s="494"/>
      <c r="V17" s="494"/>
      <c r="W17" s="7"/>
      <c r="X17" s="7"/>
      <c r="AO17" s="69"/>
      <c r="AV17" s="66"/>
      <c r="AW17" s="66"/>
      <c r="AX17" s="66"/>
    </row>
    <row r="18" spans="1:50" s="66" customFormat="1" ht="18" customHeight="1">
      <c r="B18" s="70" t="s">
        <v>65</v>
      </c>
      <c r="C18" s="495" t="s">
        <v>153</v>
      </c>
      <c r="D18" s="496"/>
      <c r="E18" s="497"/>
      <c r="F18" s="513">
        <v>1.0000000000000001E-5</v>
      </c>
      <c r="G18" s="514"/>
      <c r="H18" s="500" t="s">
        <v>63</v>
      </c>
      <c r="I18" s="501"/>
      <c r="J18" s="509" t="s">
        <v>69</v>
      </c>
      <c r="K18" s="510"/>
      <c r="L18" s="67">
        <v>1</v>
      </c>
      <c r="M18" s="502">
        <f>(F18/2)/SQRT(3)</f>
        <v>2.8867513459481293E-6</v>
      </c>
      <c r="N18" s="503"/>
      <c r="O18" s="71"/>
      <c r="Q18" s="7"/>
      <c r="R18" s="8" t="s">
        <v>154</v>
      </c>
      <c r="S18" s="255">
        <f>((((9*V20^2)/(8*(T21/1000)))*(((1-W22^2)/(4*10^11))+((1-U22^2)/(2*10^11)))^2)^(1/3))</f>
        <v>9.4831701195254792E-8</v>
      </c>
      <c r="T18" s="8"/>
      <c r="U18" s="256" t="s">
        <v>155</v>
      </c>
      <c r="V18" s="257">
        <f>(SIN((60/2)*PI()/180)^(-5/3))*(0.5^(2/3))*S18</f>
        <v>1.8966340239050964E-7</v>
      </c>
      <c r="W18" s="7"/>
      <c r="X18" s="7"/>
      <c r="AO18" s="72"/>
    </row>
    <row r="19" spans="1:50" s="66" customFormat="1" ht="18" customHeight="1">
      <c r="B19" s="70" t="s">
        <v>67</v>
      </c>
      <c r="C19" s="495" t="s">
        <v>73</v>
      </c>
      <c r="D19" s="496"/>
      <c r="E19" s="497"/>
      <c r="F19" s="498">
        <f>(COS((D6/2)*PI()/180)/(SIN((D6/2)*PI()/180))^2)*((I8/1000)-(I9/1000))</f>
        <v>-1.6654088139872648E-4</v>
      </c>
      <c r="G19" s="499"/>
      <c r="H19" s="500" t="s">
        <v>63</v>
      </c>
      <c r="I19" s="501"/>
      <c r="J19" s="509" t="s">
        <v>64</v>
      </c>
      <c r="K19" s="510"/>
      <c r="L19" s="67">
        <v>1</v>
      </c>
      <c r="M19" s="511">
        <f>F19*((2*3.14)/360)*(15/60)*(1/SQRT(3))*1000</f>
        <v>-4.1933139902614638E-4</v>
      </c>
      <c r="N19" s="512"/>
      <c r="O19" s="71"/>
      <c r="Q19" s="7"/>
      <c r="R19" s="7"/>
      <c r="S19" s="8"/>
      <c r="T19" s="8"/>
      <c r="U19" s="8"/>
      <c r="V19" s="8"/>
      <c r="W19" s="7"/>
      <c r="X19" s="7"/>
      <c r="AO19" s="72"/>
      <c r="AV19" s="51"/>
      <c r="AW19" s="51"/>
      <c r="AX19" s="51"/>
    </row>
    <row r="20" spans="1:50" s="66" customFormat="1" ht="18" customHeight="1">
      <c r="B20" s="70" t="s">
        <v>70</v>
      </c>
      <c r="C20" s="495" t="s">
        <v>75</v>
      </c>
      <c r="D20" s="496"/>
      <c r="E20" s="497"/>
      <c r="F20" s="517">
        <v>2.0000000000000002E-5</v>
      </c>
      <c r="G20" s="518"/>
      <c r="H20" s="500" t="s">
        <v>63</v>
      </c>
      <c r="I20" s="501"/>
      <c r="J20" s="509" t="s">
        <v>64</v>
      </c>
      <c r="K20" s="510"/>
      <c r="L20" s="67">
        <v>1</v>
      </c>
      <c r="M20" s="519">
        <f>F20/SQRT(3)</f>
        <v>1.1547005383792517E-5</v>
      </c>
      <c r="N20" s="520"/>
      <c r="O20" s="71"/>
      <c r="Q20" s="258" t="s">
        <v>156</v>
      </c>
      <c r="R20" s="7" t="s">
        <v>157</v>
      </c>
      <c r="S20" s="7"/>
      <c r="T20" s="7"/>
      <c r="U20" s="7"/>
      <c r="V20" s="7">
        <v>0.2</v>
      </c>
      <c r="W20" s="7"/>
      <c r="X20" s="259"/>
      <c r="AO20" s="72"/>
      <c r="AV20" s="51"/>
      <c r="AW20" s="51"/>
      <c r="AX20" s="51"/>
    </row>
    <row r="21" spans="1:50" s="66" customFormat="1" ht="18" customHeight="1">
      <c r="B21" s="70" t="s">
        <v>72</v>
      </c>
      <c r="C21" s="495" t="s">
        <v>77</v>
      </c>
      <c r="D21" s="496"/>
      <c r="E21" s="497"/>
      <c r="F21" s="498">
        <f>((I5)*(11.5*10^-6)*1)</f>
        <v>5.1749999999999997E-5</v>
      </c>
      <c r="G21" s="499"/>
      <c r="H21" s="500" t="s">
        <v>63</v>
      </c>
      <c r="I21" s="501"/>
      <c r="J21" s="509" t="s">
        <v>64</v>
      </c>
      <c r="K21" s="510"/>
      <c r="L21" s="67">
        <v>1</v>
      </c>
      <c r="M21" s="515">
        <f>F21/SQRT(3)</f>
        <v>2.9877876430563132E-5</v>
      </c>
      <c r="N21" s="516"/>
      <c r="O21" s="71"/>
      <c r="Q21" s="260" t="s">
        <v>158</v>
      </c>
      <c r="R21" s="7" t="s">
        <v>159</v>
      </c>
      <c r="S21" s="7"/>
      <c r="T21" s="7">
        <f>I8</f>
        <v>2.5499999999999998</v>
      </c>
      <c r="U21" s="7"/>
      <c r="V21" s="7"/>
      <c r="W21" s="7"/>
      <c r="X21" s="7"/>
      <c r="AO21" s="72"/>
      <c r="AV21" s="51"/>
      <c r="AW21" s="51"/>
      <c r="AX21" s="51"/>
    </row>
    <row r="22" spans="1:50" s="66" customFormat="1" ht="18" customHeight="1">
      <c r="B22" s="70" t="s">
        <v>78</v>
      </c>
      <c r="C22" s="495" t="s">
        <v>79</v>
      </c>
      <c r="D22" s="496"/>
      <c r="E22" s="497"/>
      <c r="F22" s="500"/>
      <c r="G22" s="501"/>
      <c r="H22" s="500" t="s">
        <v>56</v>
      </c>
      <c r="I22" s="501"/>
      <c r="J22" s="521"/>
      <c r="K22" s="522"/>
      <c r="L22" s="73"/>
      <c r="M22" s="511">
        <f>SQRT(M14^2+M15^2+M16^2+M17^2+M18^2+M19^2+M20^2+M21^2)</f>
        <v>5.2701744897402664E-4</v>
      </c>
      <c r="N22" s="512"/>
      <c r="O22" s="71">
        <f>(M22^4)/(((IF(M14&lt;=0,0.001,M14)^4)/9))</f>
        <v>4339328.2599129183</v>
      </c>
      <c r="Q22" s="258" t="s">
        <v>160</v>
      </c>
      <c r="R22" s="7" t="s">
        <v>161</v>
      </c>
      <c r="S22" s="7"/>
      <c r="T22" s="258" t="s">
        <v>162</v>
      </c>
      <c r="U22" s="261">
        <v>0.28000000000000003</v>
      </c>
      <c r="V22" s="258" t="s">
        <v>163</v>
      </c>
      <c r="W22" s="261">
        <v>0.25</v>
      </c>
      <c r="X22" s="13"/>
      <c r="AO22" s="72"/>
      <c r="AV22" s="51"/>
      <c r="AW22" s="51"/>
      <c r="AX22" s="51"/>
    </row>
    <row r="23" spans="1:50" s="66" customFormat="1" ht="18" customHeight="1">
      <c r="B23" s="70" t="s">
        <v>80</v>
      </c>
      <c r="C23" s="495" t="s">
        <v>81</v>
      </c>
      <c r="D23" s="496"/>
      <c r="E23" s="497"/>
      <c r="F23" s="500"/>
      <c r="G23" s="501"/>
      <c r="H23" s="500" t="s">
        <v>82</v>
      </c>
      <c r="I23" s="501"/>
      <c r="J23" s="521"/>
      <c r="K23" s="522"/>
      <c r="L23" s="73"/>
      <c r="M23" s="523">
        <f>M22*O23*1000</f>
        <v>1.0540348979480534</v>
      </c>
      <c r="N23" s="524"/>
      <c r="O23" s="74" t="str">
        <f>IF(O22&gt;0,"2.00",TINV(0.0455,O22))</f>
        <v>2.00</v>
      </c>
      <c r="Q23" s="262" t="s">
        <v>164</v>
      </c>
      <c r="R23" s="263" t="s">
        <v>165</v>
      </c>
      <c r="S23" s="7"/>
      <c r="T23" s="258" t="s">
        <v>162</v>
      </c>
      <c r="U23" s="7" t="s">
        <v>166</v>
      </c>
      <c r="V23" s="258" t="s">
        <v>163</v>
      </c>
      <c r="W23" s="7" t="s">
        <v>167</v>
      </c>
      <c r="X23" s="7" t="s">
        <v>168</v>
      </c>
      <c r="AO23" s="72"/>
      <c r="AV23" s="51"/>
      <c r="AW23" s="51"/>
      <c r="AX23" s="51"/>
    </row>
    <row r="24" spans="1:50" s="66" customFormat="1" ht="18" hidden="1" customHeight="1">
      <c r="B24" s="75">
        <v>25</v>
      </c>
      <c r="C24" s="76">
        <v>0</v>
      </c>
      <c r="D24" s="77">
        <f t="shared" ref="D24:D39" si="0">C24/1</f>
        <v>0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8">
        <f>'[4]Cert of STD'!J18</f>
        <v>1.2</v>
      </c>
      <c r="Q24" s="79">
        <f t="shared" ref="Q24:Q39" si="1">P24/2</f>
        <v>0.6</v>
      </c>
      <c r="R24" s="78">
        <f>'[4]Cert of STD'!D14</f>
        <v>0.27</v>
      </c>
      <c r="S24" s="79">
        <f t="shared" ref="S24:S39" si="2">R24/2</f>
        <v>0.13500000000000001</v>
      </c>
      <c r="T24" s="80">
        <f t="shared" ref="T24" si="3">Y52*2</f>
        <v>0</v>
      </c>
      <c r="U24" s="81">
        <f t="shared" ref="U24:U39" si="4">T24/SQRT(3)</f>
        <v>0</v>
      </c>
      <c r="V24" s="82">
        <f>(1/16)*[4]Data!E28</f>
        <v>0</v>
      </c>
      <c r="W24" s="81">
        <f t="shared" ref="W24:Y39" si="5">(V24/SQRT(3))</f>
        <v>0</v>
      </c>
      <c r="X24" s="76" t="e">
        <f>#REF!</f>
        <v>#REF!</v>
      </c>
      <c r="Y24" s="81" t="e">
        <f t="shared" si="5"/>
        <v>#REF!</v>
      </c>
      <c r="Z24" s="81">
        <v>1</v>
      </c>
      <c r="AA24" s="83">
        <f t="shared" ref="AA24:AA39" si="6">Z24/SQRT(3)</f>
        <v>0.57735026918962584</v>
      </c>
      <c r="AB24" s="77" t="e">
        <f>#REF!</f>
        <v>#REF!</v>
      </c>
      <c r="AC24" s="84" t="e">
        <f t="shared" ref="AC24:AC39" si="7">AB24*((2*3.14)/360)*(15/60)*(1/SQRT(3))*10^6</f>
        <v>#REF!</v>
      </c>
      <c r="AD24" s="83" t="e">
        <f>#REF!</f>
        <v>#REF!</v>
      </c>
      <c r="AE24" s="83" t="e">
        <f t="shared" ref="AE24:AE39" si="8">AD24/SQRT(3)</f>
        <v>#REF!</v>
      </c>
      <c r="AF24" s="85">
        <f>((0.7)*(11.5*10^-6)*1)</f>
        <v>8.0499999999999992E-6</v>
      </c>
      <c r="AG24" s="77">
        <f t="shared" ref="AG24:AG39" si="9">AF24/SQRT(3)</f>
        <v>4.647669666976487E-6</v>
      </c>
      <c r="AH24" s="77" t="e">
        <f t="shared" ref="AH24:AH39" si="10">SQRT(D24^2+Q24^2+S24^2+U24^2+W24^2+Y24^2+AA24^2+AC24^2+AE24^2+AG24^2)</f>
        <v>#REF!</v>
      </c>
      <c r="AI24" s="86">
        <f t="shared" ref="AI24:AI39" si="11">D24/1</f>
        <v>0</v>
      </c>
      <c r="AJ24" s="71" t="e">
        <f t="shared" ref="AJ24:AJ39" si="12">(AH24^4)/(((IF(AI24&lt;=0,0.001,AI24)^4)/9))</f>
        <v>#REF!</v>
      </c>
      <c r="AK24" s="74" t="e">
        <f t="shared" ref="AK24:AK39" si="13">IF(AJ24&gt;0,"2.00",TINV(0.0455,AJ24))</f>
        <v>#REF!</v>
      </c>
      <c r="AL24" s="87" t="e">
        <f t="shared" ref="AL24:AL39" si="14">AH24*2</f>
        <v>#REF!</v>
      </c>
      <c r="AO24" s="72"/>
      <c r="AV24" s="51"/>
      <c r="AW24" s="51"/>
      <c r="AX24" s="51"/>
    </row>
    <row r="25" spans="1:50" s="66" customFormat="1" ht="18" hidden="1" customHeight="1">
      <c r="B25" s="75">
        <v>30</v>
      </c>
      <c r="C25" s="76">
        <v>0</v>
      </c>
      <c r="D25" s="77">
        <f t="shared" si="0"/>
        <v>0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>
        <f>'[4]Cert of STD'!J20</f>
        <v>1.4</v>
      </c>
      <c r="Q25" s="79">
        <f t="shared" si="1"/>
        <v>0.7</v>
      </c>
      <c r="R25" s="78">
        <f>'[4]Cert of STD'!D14</f>
        <v>0.27</v>
      </c>
      <c r="S25" s="79">
        <f t="shared" si="2"/>
        <v>0.13500000000000001</v>
      </c>
      <c r="T25" s="80" t="e">
        <f>#REF!*2</f>
        <v>#REF!</v>
      </c>
      <c r="U25" s="81" t="e">
        <f t="shared" si="4"/>
        <v>#REF!</v>
      </c>
      <c r="V25" s="82">
        <f>(1/16)*[4]Data!E29</f>
        <v>0</v>
      </c>
      <c r="W25" s="81">
        <f t="shared" si="5"/>
        <v>0</v>
      </c>
      <c r="X25" s="76" t="e">
        <f t="shared" ref="X25:X29" si="15">X24</f>
        <v>#REF!</v>
      </c>
      <c r="Y25" s="81" t="e">
        <f t="shared" si="5"/>
        <v>#REF!</v>
      </c>
      <c r="Z25" s="81">
        <v>1</v>
      </c>
      <c r="AA25" s="83">
        <f t="shared" si="6"/>
        <v>0.57735026918962584</v>
      </c>
      <c r="AB25" s="77" t="e">
        <f t="shared" ref="AB25:AB29" si="16">AB24</f>
        <v>#REF!</v>
      </c>
      <c r="AC25" s="84" t="e">
        <f t="shared" si="7"/>
        <v>#REF!</v>
      </c>
      <c r="AD25" s="83" t="e">
        <f t="shared" ref="AD25:AD28" si="17">AD24</f>
        <v>#REF!</v>
      </c>
      <c r="AE25" s="83" t="e">
        <f t="shared" si="8"/>
        <v>#REF!</v>
      </c>
      <c r="AF25" s="85">
        <f>((0.75)*(11.5*10^-6)*1)</f>
        <v>8.6249999999999996E-6</v>
      </c>
      <c r="AG25" s="77">
        <f t="shared" si="9"/>
        <v>4.9796460717605226E-6</v>
      </c>
      <c r="AH25" s="77" t="e">
        <f t="shared" si="10"/>
        <v>#REF!</v>
      </c>
      <c r="AI25" s="86">
        <f t="shared" si="11"/>
        <v>0</v>
      </c>
      <c r="AJ25" s="71" t="e">
        <f t="shared" si="12"/>
        <v>#REF!</v>
      </c>
      <c r="AK25" s="74" t="e">
        <f t="shared" si="13"/>
        <v>#REF!</v>
      </c>
      <c r="AL25" s="87" t="e">
        <f t="shared" si="14"/>
        <v>#REF!</v>
      </c>
      <c r="AO25" s="72"/>
      <c r="AV25" s="51"/>
      <c r="AW25" s="51"/>
      <c r="AX25" s="51"/>
    </row>
    <row r="26" spans="1:50" s="66" customFormat="1" ht="18" hidden="1" customHeight="1">
      <c r="B26" s="75">
        <v>75</v>
      </c>
      <c r="C26" s="76">
        <v>0</v>
      </c>
      <c r="D26" s="77">
        <f t="shared" si="0"/>
        <v>0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>
        <f>'[4]Cert of STD'!J21</f>
        <v>2.8</v>
      </c>
      <c r="Q26" s="79">
        <f t="shared" si="1"/>
        <v>1.4</v>
      </c>
      <c r="R26" s="78">
        <f>'[4]Cert of STD'!D19</f>
        <v>0.39</v>
      </c>
      <c r="S26" s="79">
        <f t="shared" si="2"/>
        <v>0.19500000000000001</v>
      </c>
      <c r="T26" s="80" t="e">
        <f>#REF!*2</f>
        <v>#REF!</v>
      </c>
      <c r="U26" s="81" t="e">
        <f t="shared" si="4"/>
        <v>#REF!</v>
      </c>
      <c r="V26" s="82">
        <f>(1/16)*[4]Data!E30</f>
        <v>0</v>
      </c>
      <c r="W26" s="81">
        <f t="shared" si="5"/>
        <v>0</v>
      </c>
      <c r="X26" s="76" t="e">
        <f t="shared" si="15"/>
        <v>#REF!</v>
      </c>
      <c r="Y26" s="81" t="e">
        <f t="shared" si="5"/>
        <v>#REF!</v>
      </c>
      <c r="Z26" s="81">
        <v>1</v>
      </c>
      <c r="AA26" s="83">
        <f t="shared" si="6"/>
        <v>0.57735026918962584</v>
      </c>
      <c r="AB26" s="77" t="e">
        <f t="shared" si="16"/>
        <v>#REF!</v>
      </c>
      <c r="AC26" s="84" t="e">
        <f t="shared" si="7"/>
        <v>#REF!</v>
      </c>
      <c r="AD26" s="83" t="e">
        <f t="shared" si="17"/>
        <v>#REF!</v>
      </c>
      <c r="AE26" s="83" t="e">
        <f t="shared" si="8"/>
        <v>#REF!</v>
      </c>
      <c r="AF26" s="85">
        <f>((0.8)*(11.5*10^-6)*1)</f>
        <v>9.2E-6</v>
      </c>
      <c r="AG26" s="77">
        <f t="shared" si="9"/>
        <v>5.3116224765445574E-6</v>
      </c>
      <c r="AH26" s="77" t="e">
        <f t="shared" si="10"/>
        <v>#REF!</v>
      </c>
      <c r="AI26" s="86">
        <f t="shared" si="11"/>
        <v>0</v>
      </c>
      <c r="AJ26" s="71" t="e">
        <f t="shared" si="12"/>
        <v>#REF!</v>
      </c>
      <c r="AK26" s="74" t="e">
        <f t="shared" si="13"/>
        <v>#REF!</v>
      </c>
      <c r="AL26" s="87" t="e">
        <f t="shared" si="14"/>
        <v>#REF!</v>
      </c>
      <c r="AO26" s="72"/>
      <c r="AV26" s="51"/>
      <c r="AW26" s="51"/>
      <c r="AX26" s="51"/>
    </row>
    <row r="27" spans="1:50" s="66" customFormat="1" ht="18" hidden="1" customHeight="1">
      <c r="B27" s="75">
        <v>90</v>
      </c>
      <c r="C27" s="76">
        <v>0</v>
      </c>
      <c r="D27" s="77">
        <f t="shared" si="0"/>
        <v>0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8">
        <f t="shared" ref="P27:P29" si="18">P26</f>
        <v>2.8</v>
      </c>
      <c r="Q27" s="79">
        <f t="shared" si="1"/>
        <v>1.4</v>
      </c>
      <c r="R27" s="78">
        <f>'[4]Cert of STD'!D20</f>
        <v>0.39</v>
      </c>
      <c r="S27" s="79">
        <f t="shared" si="2"/>
        <v>0.19500000000000001</v>
      </c>
      <c r="T27" s="80" t="e">
        <f>#REF!*2</f>
        <v>#REF!</v>
      </c>
      <c r="U27" s="81" t="e">
        <f t="shared" si="4"/>
        <v>#REF!</v>
      </c>
      <c r="V27" s="82">
        <f>(1/16)*[4]Data!E31</f>
        <v>0</v>
      </c>
      <c r="W27" s="81">
        <f t="shared" si="5"/>
        <v>0</v>
      </c>
      <c r="X27" s="76" t="e">
        <f t="shared" si="15"/>
        <v>#REF!</v>
      </c>
      <c r="Y27" s="81" t="e">
        <f t="shared" si="5"/>
        <v>#REF!</v>
      </c>
      <c r="Z27" s="81">
        <v>1</v>
      </c>
      <c r="AA27" s="83">
        <f t="shared" si="6"/>
        <v>0.57735026918962584</v>
      </c>
      <c r="AB27" s="77" t="e">
        <f t="shared" si="16"/>
        <v>#REF!</v>
      </c>
      <c r="AC27" s="84" t="e">
        <f t="shared" si="7"/>
        <v>#REF!</v>
      </c>
      <c r="AD27" s="83" t="e">
        <f t="shared" si="17"/>
        <v>#REF!</v>
      </c>
      <c r="AE27" s="83" t="e">
        <f t="shared" si="8"/>
        <v>#REF!</v>
      </c>
      <c r="AF27" s="85">
        <f>((1)*(11.5*10^-6)*1)</f>
        <v>1.15E-5</v>
      </c>
      <c r="AG27" s="77">
        <f t="shared" si="9"/>
        <v>6.6395280956806965E-6</v>
      </c>
      <c r="AH27" s="77" t="e">
        <f t="shared" si="10"/>
        <v>#REF!</v>
      </c>
      <c r="AI27" s="86">
        <f t="shared" si="11"/>
        <v>0</v>
      </c>
      <c r="AJ27" s="71" t="e">
        <f t="shared" si="12"/>
        <v>#REF!</v>
      </c>
      <c r="AK27" s="74" t="e">
        <f t="shared" si="13"/>
        <v>#REF!</v>
      </c>
      <c r="AL27" s="87" t="e">
        <f t="shared" si="14"/>
        <v>#REF!</v>
      </c>
      <c r="AV27" s="51"/>
      <c r="AW27" s="51"/>
      <c r="AX27" s="51"/>
    </row>
    <row r="28" spans="1:50" s="66" customFormat="1" ht="18" hidden="1" customHeight="1">
      <c r="B28" s="75">
        <v>100</v>
      </c>
      <c r="C28" s="76">
        <v>0</v>
      </c>
      <c r="D28" s="77">
        <f t="shared" si="0"/>
        <v>0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8">
        <f t="shared" si="18"/>
        <v>2.8</v>
      </c>
      <c r="Q28" s="79">
        <f t="shared" si="1"/>
        <v>1.4</v>
      </c>
      <c r="R28" s="78">
        <f>'[4]Cert of STD'!D21</f>
        <v>0.39</v>
      </c>
      <c r="S28" s="79">
        <f t="shared" si="2"/>
        <v>0.19500000000000001</v>
      </c>
      <c r="T28" s="80" t="e">
        <f>#REF!*2</f>
        <v>#REF!</v>
      </c>
      <c r="U28" s="81" t="e">
        <f t="shared" si="4"/>
        <v>#REF!</v>
      </c>
      <c r="V28" s="82">
        <f>(1/16)*[4]Data!E32</f>
        <v>0</v>
      </c>
      <c r="W28" s="81">
        <f t="shared" si="5"/>
        <v>0</v>
      </c>
      <c r="X28" s="76" t="e">
        <f t="shared" si="15"/>
        <v>#REF!</v>
      </c>
      <c r="Y28" s="81" t="e">
        <f t="shared" si="5"/>
        <v>#REF!</v>
      </c>
      <c r="Z28" s="81">
        <v>1</v>
      </c>
      <c r="AA28" s="83">
        <f t="shared" si="6"/>
        <v>0.57735026918962584</v>
      </c>
      <c r="AB28" s="77" t="e">
        <f t="shared" si="16"/>
        <v>#REF!</v>
      </c>
      <c r="AC28" s="84" t="e">
        <f t="shared" si="7"/>
        <v>#REF!</v>
      </c>
      <c r="AD28" s="83" t="e">
        <f t="shared" si="17"/>
        <v>#REF!</v>
      </c>
      <c r="AE28" s="83" t="e">
        <f t="shared" si="8"/>
        <v>#REF!</v>
      </c>
      <c r="AF28" s="85">
        <f>((1.25)*(11.5*10^-6)*1)</f>
        <v>1.4375E-5</v>
      </c>
      <c r="AG28" s="77">
        <f t="shared" si="9"/>
        <v>8.2994101196008704E-6</v>
      </c>
      <c r="AH28" s="77" t="e">
        <f t="shared" si="10"/>
        <v>#REF!</v>
      </c>
      <c r="AI28" s="86">
        <f t="shared" si="11"/>
        <v>0</v>
      </c>
      <c r="AJ28" s="71" t="e">
        <f t="shared" si="12"/>
        <v>#REF!</v>
      </c>
      <c r="AK28" s="74" t="e">
        <f t="shared" si="13"/>
        <v>#REF!</v>
      </c>
      <c r="AL28" s="87" t="e">
        <f t="shared" si="14"/>
        <v>#REF!</v>
      </c>
      <c r="AV28" s="51"/>
      <c r="AW28" s="51"/>
      <c r="AX28" s="51"/>
    </row>
    <row r="29" spans="1:50" s="66" customFormat="1" ht="18" hidden="1" customHeight="1">
      <c r="A29" s="51"/>
      <c r="B29" s="75">
        <v>125</v>
      </c>
      <c r="C29" s="76">
        <v>0</v>
      </c>
      <c r="D29" s="77">
        <f t="shared" si="0"/>
        <v>0</v>
      </c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8">
        <f t="shared" si="18"/>
        <v>2.8</v>
      </c>
      <c r="Q29" s="79">
        <f t="shared" si="1"/>
        <v>1.4</v>
      </c>
      <c r="R29" s="78">
        <f>'[4]Cert of STD'!D21</f>
        <v>0.39</v>
      </c>
      <c r="S29" s="79">
        <f t="shared" si="2"/>
        <v>0.19500000000000001</v>
      </c>
      <c r="T29" s="80" t="e">
        <f>#REF!*2</f>
        <v>#REF!</v>
      </c>
      <c r="U29" s="81" t="e">
        <f t="shared" si="4"/>
        <v>#REF!</v>
      </c>
      <c r="V29" s="82">
        <f>(1/16)*[4]Data!E33</f>
        <v>0</v>
      </c>
      <c r="W29" s="81">
        <f t="shared" si="5"/>
        <v>0</v>
      </c>
      <c r="X29" s="76" t="e">
        <f t="shared" si="15"/>
        <v>#REF!</v>
      </c>
      <c r="Y29" s="81" t="e">
        <f t="shared" si="5"/>
        <v>#REF!</v>
      </c>
      <c r="Z29" s="81">
        <v>1</v>
      </c>
      <c r="AA29" s="83">
        <f t="shared" si="6"/>
        <v>0.57735026918962584</v>
      </c>
      <c r="AB29" s="77" t="e">
        <f t="shared" si="16"/>
        <v>#REF!</v>
      </c>
      <c r="AC29" s="84" t="e">
        <f t="shared" si="7"/>
        <v>#REF!</v>
      </c>
      <c r="AD29" s="83" t="e">
        <f>AD28</f>
        <v>#REF!</v>
      </c>
      <c r="AE29" s="83" t="e">
        <f t="shared" si="8"/>
        <v>#REF!</v>
      </c>
      <c r="AF29" s="85">
        <f>(([4]Data!L31)*(11.5*10^-6)*1)</f>
        <v>1.15011845E-4</v>
      </c>
      <c r="AG29" s="77">
        <f t="shared" si="9"/>
        <v>6.6402119670745514E-5</v>
      </c>
      <c r="AH29" s="77" t="e">
        <f t="shared" si="10"/>
        <v>#REF!</v>
      </c>
      <c r="AI29" s="86">
        <f t="shared" si="11"/>
        <v>0</v>
      </c>
      <c r="AJ29" s="71" t="e">
        <f t="shared" si="12"/>
        <v>#REF!</v>
      </c>
      <c r="AK29" s="74" t="e">
        <f t="shared" si="13"/>
        <v>#REF!</v>
      </c>
      <c r="AL29" s="87" t="e">
        <f t="shared" si="14"/>
        <v>#REF!</v>
      </c>
      <c r="AV29" s="51"/>
      <c r="AW29" s="51"/>
      <c r="AX29" s="51"/>
    </row>
    <row r="30" spans="1:50" s="66" customFormat="1" ht="18" hidden="1" customHeight="1">
      <c r="A30" s="51"/>
      <c r="B30" s="75">
        <v>150</v>
      </c>
      <c r="C30" s="76">
        <v>0</v>
      </c>
      <c r="D30" s="77">
        <f t="shared" si="0"/>
        <v>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>
        <f>P29</f>
        <v>2.8</v>
      </c>
      <c r="Q30" s="79">
        <f t="shared" si="1"/>
        <v>1.4</v>
      </c>
      <c r="R30" s="78">
        <f>'[4]Cert of STD'!D21</f>
        <v>0.39</v>
      </c>
      <c r="S30" s="79">
        <f t="shared" si="2"/>
        <v>0.19500000000000001</v>
      </c>
      <c r="T30" s="80" t="e">
        <f>#REF!*2</f>
        <v>#REF!</v>
      </c>
      <c r="U30" s="81" t="e">
        <f t="shared" si="4"/>
        <v>#REF!</v>
      </c>
      <c r="V30" s="82">
        <f>(1/16)*[4]Data!E34</f>
        <v>0</v>
      </c>
      <c r="W30" s="81">
        <f t="shared" si="5"/>
        <v>0</v>
      </c>
      <c r="X30" s="76" t="e">
        <f>X29</f>
        <v>#REF!</v>
      </c>
      <c r="Y30" s="81" t="e">
        <f t="shared" si="5"/>
        <v>#REF!</v>
      </c>
      <c r="Z30" s="81">
        <v>1</v>
      </c>
      <c r="AA30" s="83">
        <f t="shared" si="6"/>
        <v>0.57735026918962584</v>
      </c>
      <c r="AB30" s="77" t="e">
        <f>AB29</f>
        <v>#REF!</v>
      </c>
      <c r="AC30" s="84" t="e">
        <f t="shared" si="7"/>
        <v>#REF!</v>
      </c>
      <c r="AD30" s="83" t="e">
        <f>AD29</f>
        <v>#REF!</v>
      </c>
      <c r="AE30" s="83" t="e">
        <f t="shared" si="8"/>
        <v>#REF!</v>
      </c>
      <c r="AF30" s="85">
        <f>(([4]Data!L32)*(11.5*10^-6)*1)</f>
        <v>0</v>
      </c>
      <c r="AG30" s="77">
        <f t="shared" si="9"/>
        <v>0</v>
      </c>
      <c r="AH30" s="77" t="e">
        <f t="shared" si="10"/>
        <v>#REF!</v>
      </c>
      <c r="AI30" s="86">
        <f t="shared" si="11"/>
        <v>0</v>
      </c>
      <c r="AJ30" s="71" t="e">
        <f t="shared" si="12"/>
        <v>#REF!</v>
      </c>
      <c r="AK30" s="74" t="e">
        <f t="shared" si="13"/>
        <v>#REF!</v>
      </c>
      <c r="AL30" s="87" t="e">
        <f t="shared" si="14"/>
        <v>#REF!</v>
      </c>
      <c r="AV30" s="51"/>
      <c r="AW30" s="51"/>
      <c r="AX30" s="51"/>
    </row>
    <row r="31" spans="1:50" s="66" customFormat="1" ht="18" hidden="1" customHeight="1">
      <c r="A31" s="51"/>
      <c r="B31" s="75">
        <v>150</v>
      </c>
      <c r="C31" s="76">
        <v>0</v>
      </c>
      <c r="D31" s="77">
        <f t="shared" si="0"/>
        <v>0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>
        <f t="shared" ref="P31:P35" si="19">P30</f>
        <v>2.8</v>
      </c>
      <c r="Q31" s="79">
        <f t="shared" si="1"/>
        <v>1.4</v>
      </c>
      <c r="R31" s="78">
        <f>'[4]Cert of STD'!D22</f>
        <v>0</v>
      </c>
      <c r="S31" s="79">
        <f t="shared" si="2"/>
        <v>0</v>
      </c>
      <c r="T31" s="80" t="e">
        <f>#REF!*2</f>
        <v>#REF!</v>
      </c>
      <c r="U31" s="81" t="e">
        <f t="shared" si="4"/>
        <v>#REF!</v>
      </c>
      <c r="V31" s="82">
        <f>(1/16)*[4]Data!E35</f>
        <v>0</v>
      </c>
      <c r="W31" s="81">
        <f t="shared" si="5"/>
        <v>0</v>
      </c>
      <c r="X31" s="76" t="e">
        <f t="shared" ref="X31:X35" si="20">X30</f>
        <v>#REF!</v>
      </c>
      <c r="Y31" s="81" t="e">
        <f t="shared" si="5"/>
        <v>#REF!</v>
      </c>
      <c r="Z31" s="81">
        <v>1</v>
      </c>
      <c r="AA31" s="83">
        <f t="shared" si="6"/>
        <v>0.57735026918962584</v>
      </c>
      <c r="AB31" s="77" t="e">
        <f t="shared" ref="AB31:AB35" si="21">AB30</f>
        <v>#REF!</v>
      </c>
      <c r="AC31" s="84" t="e">
        <f t="shared" si="7"/>
        <v>#REF!</v>
      </c>
      <c r="AD31" s="83" t="e">
        <f t="shared" ref="AD31:AD35" si="22">AD30</f>
        <v>#REF!</v>
      </c>
      <c r="AE31" s="83" t="e">
        <f t="shared" si="8"/>
        <v>#REF!</v>
      </c>
      <c r="AF31" s="85">
        <f>(([4]Data!L33)*(11.5*10^-6)*1)</f>
        <v>2.8750000000000001E-5</v>
      </c>
      <c r="AG31" s="77">
        <f t="shared" si="9"/>
        <v>1.6598820239201741E-5</v>
      </c>
      <c r="AH31" s="77" t="e">
        <f t="shared" si="10"/>
        <v>#REF!</v>
      </c>
      <c r="AI31" s="86">
        <f t="shared" si="11"/>
        <v>0</v>
      </c>
      <c r="AJ31" s="71" t="e">
        <f t="shared" si="12"/>
        <v>#REF!</v>
      </c>
      <c r="AK31" s="74" t="e">
        <f t="shared" si="13"/>
        <v>#REF!</v>
      </c>
      <c r="AL31" s="87" t="e">
        <f t="shared" si="14"/>
        <v>#REF!</v>
      </c>
      <c r="AM31" s="88"/>
      <c r="AN31" s="89"/>
      <c r="AV31" s="51"/>
      <c r="AW31" s="51"/>
      <c r="AX31" s="51"/>
    </row>
    <row r="32" spans="1:50" s="66" customFormat="1" ht="18" hidden="1" customHeight="1">
      <c r="A32" s="51"/>
      <c r="B32" s="75">
        <v>150</v>
      </c>
      <c r="C32" s="76">
        <v>0</v>
      </c>
      <c r="D32" s="77">
        <f t="shared" si="0"/>
        <v>0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8">
        <f t="shared" si="19"/>
        <v>2.8</v>
      </c>
      <c r="Q32" s="79">
        <f t="shared" si="1"/>
        <v>1.4</v>
      </c>
      <c r="R32" s="78">
        <f>'[4]Cert of STD'!D23</f>
        <v>0</v>
      </c>
      <c r="S32" s="79">
        <f t="shared" si="2"/>
        <v>0</v>
      </c>
      <c r="T32" s="80" t="e">
        <f>#REF!*2</f>
        <v>#REF!</v>
      </c>
      <c r="U32" s="81" t="e">
        <f t="shared" si="4"/>
        <v>#REF!</v>
      </c>
      <c r="V32" s="82">
        <f>(1/16)*[4]Data!E36</f>
        <v>0</v>
      </c>
      <c r="W32" s="81">
        <f t="shared" si="5"/>
        <v>0</v>
      </c>
      <c r="X32" s="76" t="e">
        <f t="shared" si="20"/>
        <v>#REF!</v>
      </c>
      <c r="Y32" s="81" t="e">
        <f t="shared" si="5"/>
        <v>#REF!</v>
      </c>
      <c r="Z32" s="81">
        <v>1</v>
      </c>
      <c r="AA32" s="83">
        <f t="shared" si="6"/>
        <v>0.57735026918962584</v>
      </c>
      <c r="AB32" s="77" t="e">
        <f t="shared" si="21"/>
        <v>#REF!</v>
      </c>
      <c r="AC32" s="84" t="e">
        <f t="shared" si="7"/>
        <v>#REF!</v>
      </c>
      <c r="AD32" s="83" t="e">
        <f t="shared" si="22"/>
        <v>#REF!</v>
      </c>
      <c r="AE32" s="83" t="e">
        <f t="shared" si="8"/>
        <v>#REF!</v>
      </c>
      <c r="AF32" s="85">
        <f>(([4]Data!L34)*(11.5*10^-6)*1)</f>
        <v>0</v>
      </c>
      <c r="AG32" s="77">
        <f t="shared" si="9"/>
        <v>0</v>
      </c>
      <c r="AH32" s="77" t="e">
        <f t="shared" si="10"/>
        <v>#REF!</v>
      </c>
      <c r="AI32" s="86">
        <f t="shared" si="11"/>
        <v>0</v>
      </c>
      <c r="AJ32" s="71" t="e">
        <f t="shared" si="12"/>
        <v>#REF!</v>
      </c>
      <c r="AK32" s="74" t="e">
        <f t="shared" si="13"/>
        <v>#REF!</v>
      </c>
      <c r="AL32" s="87" t="e">
        <f t="shared" si="14"/>
        <v>#REF!</v>
      </c>
      <c r="AM32" s="7"/>
      <c r="AN32" s="7"/>
      <c r="AV32" s="51"/>
      <c r="AW32" s="51"/>
      <c r="AX32" s="51"/>
    </row>
    <row r="33" spans="2:40" s="13" customFormat="1" ht="18" hidden="1" customHeight="1">
      <c r="B33" s="75">
        <v>150</v>
      </c>
      <c r="C33" s="76">
        <v>0</v>
      </c>
      <c r="D33" s="77">
        <f t="shared" si="0"/>
        <v>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8">
        <f t="shared" si="19"/>
        <v>2.8</v>
      </c>
      <c r="Q33" s="79">
        <f t="shared" si="1"/>
        <v>1.4</v>
      </c>
      <c r="R33" s="78">
        <f>'[4]Cert of STD'!D24</f>
        <v>0</v>
      </c>
      <c r="S33" s="79">
        <f t="shared" si="2"/>
        <v>0</v>
      </c>
      <c r="T33" s="80" t="e">
        <f>#REF!*2</f>
        <v>#REF!</v>
      </c>
      <c r="U33" s="81" t="e">
        <f t="shared" si="4"/>
        <v>#REF!</v>
      </c>
      <c r="V33" s="82">
        <f>(1/16)*[4]Data!E37</f>
        <v>0</v>
      </c>
      <c r="W33" s="81">
        <f t="shared" si="5"/>
        <v>0</v>
      </c>
      <c r="X33" s="76" t="e">
        <f t="shared" si="20"/>
        <v>#REF!</v>
      </c>
      <c r="Y33" s="81" t="e">
        <f t="shared" si="5"/>
        <v>#REF!</v>
      </c>
      <c r="Z33" s="81">
        <v>1</v>
      </c>
      <c r="AA33" s="83">
        <f t="shared" si="6"/>
        <v>0.57735026918962584</v>
      </c>
      <c r="AB33" s="77" t="e">
        <f t="shared" si="21"/>
        <v>#REF!</v>
      </c>
      <c r="AC33" s="84" t="e">
        <f t="shared" si="7"/>
        <v>#REF!</v>
      </c>
      <c r="AD33" s="83" t="e">
        <f t="shared" si="22"/>
        <v>#REF!</v>
      </c>
      <c r="AE33" s="83" t="e">
        <f t="shared" si="8"/>
        <v>#REF!</v>
      </c>
      <c r="AF33" s="85">
        <f>(([4]Data!L35)*(11.5*10^-6)*1)</f>
        <v>0</v>
      </c>
      <c r="AG33" s="77">
        <f t="shared" si="9"/>
        <v>0</v>
      </c>
      <c r="AH33" s="77" t="e">
        <f t="shared" si="10"/>
        <v>#REF!</v>
      </c>
      <c r="AI33" s="86">
        <f t="shared" si="11"/>
        <v>0</v>
      </c>
      <c r="AJ33" s="71" t="e">
        <f t="shared" si="12"/>
        <v>#REF!</v>
      </c>
      <c r="AK33" s="74" t="e">
        <f t="shared" si="13"/>
        <v>#REF!</v>
      </c>
      <c r="AL33" s="87" t="e">
        <f t="shared" si="14"/>
        <v>#REF!</v>
      </c>
      <c r="AM33" s="7"/>
      <c r="AN33" s="7"/>
    </row>
    <row r="34" spans="2:40" s="13" customFormat="1" ht="18" hidden="1" customHeight="1">
      <c r="B34" s="75">
        <v>150</v>
      </c>
      <c r="C34" s="76">
        <v>0</v>
      </c>
      <c r="D34" s="77">
        <f t="shared" si="0"/>
        <v>0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8">
        <f t="shared" si="19"/>
        <v>2.8</v>
      </c>
      <c r="Q34" s="79">
        <f t="shared" si="1"/>
        <v>1.4</v>
      </c>
      <c r="R34" s="78">
        <f>'[4]Cert of STD'!D25</f>
        <v>0</v>
      </c>
      <c r="S34" s="79">
        <f t="shared" si="2"/>
        <v>0</v>
      </c>
      <c r="T34" s="80" t="e">
        <f>#REF!*2</f>
        <v>#REF!</v>
      </c>
      <c r="U34" s="81" t="e">
        <f t="shared" si="4"/>
        <v>#REF!</v>
      </c>
      <c r="V34" s="82">
        <f>(1/16)*[4]Data!E38</f>
        <v>0</v>
      </c>
      <c r="W34" s="81">
        <f t="shared" si="5"/>
        <v>0</v>
      </c>
      <c r="X34" s="76" t="e">
        <f t="shared" si="20"/>
        <v>#REF!</v>
      </c>
      <c r="Y34" s="81" t="e">
        <f t="shared" si="5"/>
        <v>#REF!</v>
      </c>
      <c r="Z34" s="81">
        <v>1</v>
      </c>
      <c r="AA34" s="83">
        <f t="shared" si="6"/>
        <v>0.57735026918962584</v>
      </c>
      <c r="AB34" s="77" t="e">
        <f t="shared" si="21"/>
        <v>#REF!</v>
      </c>
      <c r="AC34" s="84" t="e">
        <f t="shared" si="7"/>
        <v>#REF!</v>
      </c>
      <c r="AD34" s="83" t="e">
        <f t="shared" si="22"/>
        <v>#REF!</v>
      </c>
      <c r="AE34" s="83" t="e">
        <f t="shared" si="8"/>
        <v>#REF!</v>
      </c>
      <c r="AF34" s="85">
        <f>(([4]Data!L36)*(11.5*10^-6)*1)</f>
        <v>0</v>
      </c>
      <c r="AG34" s="77">
        <f t="shared" si="9"/>
        <v>0</v>
      </c>
      <c r="AH34" s="77" t="e">
        <f t="shared" si="10"/>
        <v>#REF!</v>
      </c>
      <c r="AI34" s="86">
        <f t="shared" si="11"/>
        <v>0</v>
      </c>
      <c r="AJ34" s="71" t="e">
        <f t="shared" si="12"/>
        <v>#REF!</v>
      </c>
      <c r="AK34" s="74" t="e">
        <f t="shared" si="13"/>
        <v>#REF!</v>
      </c>
      <c r="AL34" s="87" t="e">
        <f t="shared" si="14"/>
        <v>#REF!</v>
      </c>
      <c r="AM34" s="7"/>
      <c r="AN34" s="7"/>
    </row>
    <row r="35" spans="2:40" s="13" customFormat="1" ht="18" hidden="1" customHeight="1">
      <c r="B35" s="75">
        <v>150</v>
      </c>
      <c r="C35" s="76">
        <v>0</v>
      </c>
      <c r="D35" s="77">
        <f t="shared" si="0"/>
        <v>0</v>
      </c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8">
        <f t="shared" si="19"/>
        <v>2.8</v>
      </c>
      <c r="Q35" s="79">
        <f t="shared" si="1"/>
        <v>1.4</v>
      </c>
      <c r="R35" s="78">
        <f>'[4]Cert of STD'!D26</f>
        <v>0</v>
      </c>
      <c r="S35" s="79">
        <f t="shared" si="2"/>
        <v>0</v>
      </c>
      <c r="T35" s="80" t="e">
        <f>#REF!*2</f>
        <v>#REF!</v>
      </c>
      <c r="U35" s="81" t="e">
        <f t="shared" si="4"/>
        <v>#REF!</v>
      </c>
      <c r="V35" s="82">
        <f>(1/16)*[4]Data!E39</f>
        <v>0</v>
      </c>
      <c r="W35" s="81">
        <f t="shared" si="5"/>
        <v>0</v>
      </c>
      <c r="X35" s="76" t="e">
        <f t="shared" si="20"/>
        <v>#REF!</v>
      </c>
      <c r="Y35" s="81" t="e">
        <f t="shared" si="5"/>
        <v>#REF!</v>
      </c>
      <c r="Z35" s="81">
        <v>1</v>
      </c>
      <c r="AA35" s="83">
        <f t="shared" si="6"/>
        <v>0.57735026918962584</v>
      </c>
      <c r="AB35" s="77" t="e">
        <f t="shared" si="21"/>
        <v>#REF!</v>
      </c>
      <c r="AC35" s="84" t="e">
        <f t="shared" si="7"/>
        <v>#REF!</v>
      </c>
      <c r="AD35" s="83" t="e">
        <f t="shared" si="22"/>
        <v>#REF!</v>
      </c>
      <c r="AE35" s="83" t="e">
        <f t="shared" si="8"/>
        <v>#REF!</v>
      </c>
      <c r="AF35" s="85">
        <f>(([4]Data!L37)*(11.5*10^-6)*1)</f>
        <v>0</v>
      </c>
      <c r="AG35" s="77">
        <f t="shared" si="9"/>
        <v>0</v>
      </c>
      <c r="AH35" s="77" t="e">
        <f t="shared" si="10"/>
        <v>#REF!</v>
      </c>
      <c r="AI35" s="86">
        <f t="shared" si="11"/>
        <v>0</v>
      </c>
      <c r="AJ35" s="71" t="e">
        <f t="shared" si="12"/>
        <v>#REF!</v>
      </c>
      <c r="AK35" s="74" t="e">
        <f t="shared" si="13"/>
        <v>#REF!</v>
      </c>
      <c r="AL35" s="87" t="e">
        <f t="shared" si="14"/>
        <v>#REF!</v>
      </c>
      <c r="AM35" s="7"/>
      <c r="AN35" s="7"/>
    </row>
    <row r="36" spans="2:40" s="13" customFormat="1" ht="18" hidden="1" customHeight="1">
      <c r="B36" s="75">
        <v>150</v>
      </c>
      <c r="C36" s="76">
        <v>0</v>
      </c>
      <c r="D36" s="77">
        <f t="shared" si="0"/>
        <v>0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8">
        <f>P35</f>
        <v>2.8</v>
      </c>
      <c r="Q36" s="79">
        <f t="shared" si="1"/>
        <v>1.4</v>
      </c>
      <c r="R36" s="78">
        <f>'[4]Cert of STD'!D27</f>
        <v>0</v>
      </c>
      <c r="S36" s="79">
        <f t="shared" si="2"/>
        <v>0</v>
      </c>
      <c r="T36" s="80" t="e">
        <f>#REF!*2</f>
        <v>#REF!</v>
      </c>
      <c r="U36" s="81" t="e">
        <f t="shared" si="4"/>
        <v>#REF!</v>
      </c>
      <c r="V36" s="82">
        <f>(1/16)*[4]Data!E40</f>
        <v>0</v>
      </c>
      <c r="W36" s="81">
        <f t="shared" si="5"/>
        <v>0</v>
      </c>
      <c r="X36" s="76" t="e">
        <f>X35</f>
        <v>#REF!</v>
      </c>
      <c r="Y36" s="81" t="e">
        <f t="shared" si="5"/>
        <v>#REF!</v>
      </c>
      <c r="Z36" s="81">
        <v>1</v>
      </c>
      <c r="AA36" s="83">
        <f t="shared" si="6"/>
        <v>0.57735026918962584</v>
      </c>
      <c r="AB36" s="77" t="e">
        <f>AB35</f>
        <v>#REF!</v>
      </c>
      <c r="AC36" s="84" t="e">
        <f t="shared" si="7"/>
        <v>#REF!</v>
      </c>
      <c r="AD36" s="83" t="e">
        <f>AD35</f>
        <v>#REF!</v>
      </c>
      <c r="AE36" s="83" t="e">
        <f t="shared" si="8"/>
        <v>#REF!</v>
      </c>
      <c r="AF36" s="85">
        <f>(([4]Data!L38)*(11.5*10^-6)*1)</f>
        <v>0</v>
      </c>
      <c r="AG36" s="77">
        <f t="shared" si="9"/>
        <v>0</v>
      </c>
      <c r="AH36" s="77" t="e">
        <f t="shared" si="10"/>
        <v>#REF!</v>
      </c>
      <c r="AI36" s="86">
        <f t="shared" si="11"/>
        <v>0</v>
      </c>
      <c r="AJ36" s="71" t="e">
        <f t="shared" si="12"/>
        <v>#REF!</v>
      </c>
      <c r="AK36" s="74" t="e">
        <f t="shared" si="13"/>
        <v>#REF!</v>
      </c>
      <c r="AL36" s="87" t="e">
        <f t="shared" si="14"/>
        <v>#REF!</v>
      </c>
      <c r="AM36" s="7"/>
      <c r="AN36" s="7"/>
    </row>
    <row r="37" spans="2:40" s="13" customFormat="1" ht="18" hidden="1" customHeight="1">
      <c r="B37" s="75">
        <v>150</v>
      </c>
      <c r="C37" s="76">
        <v>0</v>
      </c>
      <c r="D37" s="77">
        <f t="shared" si="0"/>
        <v>0</v>
      </c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8">
        <f t="shared" ref="P37" si="23">P36</f>
        <v>2.8</v>
      </c>
      <c r="Q37" s="79">
        <f t="shared" si="1"/>
        <v>1.4</v>
      </c>
      <c r="R37" s="78">
        <f>'[4]Cert of STD'!D28</f>
        <v>0</v>
      </c>
      <c r="S37" s="79">
        <f t="shared" si="2"/>
        <v>0</v>
      </c>
      <c r="T37" s="80" t="e">
        <f>#REF!*2</f>
        <v>#REF!</v>
      </c>
      <c r="U37" s="81" t="e">
        <f t="shared" si="4"/>
        <v>#REF!</v>
      </c>
      <c r="V37" s="82">
        <f>(1/16)*[4]Data!E41</f>
        <v>0</v>
      </c>
      <c r="W37" s="81">
        <f t="shared" si="5"/>
        <v>0</v>
      </c>
      <c r="X37" s="76" t="e">
        <f t="shared" ref="X37" si="24">X36</f>
        <v>#REF!</v>
      </c>
      <c r="Y37" s="81" t="e">
        <f t="shared" si="5"/>
        <v>#REF!</v>
      </c>
      <c r="Z37" s="81">
        <v>1</v>
      </c>
      <c r="AA37" s="83">
        <f t="shared" si="6"/>
        <v>0.57735026918962584</v>
      </c>
      <c r="AB37" s="77" t="e">
        <f t="shared" ref="AB37" si="25">AB36</f>
        <v>#REF!</v>
      </c>
      <c r="AC37" s="84" t="e">
        <f t="shared" si="7"/>
        <v>#REF!</v>
      </c>
      <c r="AD37" s="83" t="e">
        <f t="shared" ref="AD37" si="26">AD36</f>
        <v>#REF!</v>
      </c>
      <c r="AE37" s="83" t="e">
        <f t="shared" si="8"/>
        <v>#REF!</v>
      </c>
      <c r="AF37" s="85">
        <f>(([4]Data!L39)*(11.5*10^-6)*1)</f>
        <v>2.3E-5</v>
      </c>
      <c r="AG37" s="77">
        <f t="shared" si="9"/>
        <v>1.3279056191361393E-5</v>
      </c>
      <c r="AH37" s="77" t="e">
        <f t="shared" si="10"/>
        <v>#REF!</v>
      </c>
      <c r="AI37" s="86">
        <f t="shared" si="11"/>
        <v>0</v>
      </c>
      <c r="AJ37" s="71" t="e">
        <f t="shared" si="12"/>
        <v>#REF!</v>
      </c>
      <c r="AK37" s="74" t="e">
        <f t="shared" si="13"/>
        <v>#REF!</v>
      </c>
      <c r="AL37" s="87" t="e">
        <f t="shared" si="14"/>
        <v>#REF!</v>
      </c>
      <c r="AM37" s="7"/>
      <c r="AN37" s="7"/>
    </row>
    <row r="38" spans="2:40" s="13" customFormat="1" ht="18" hidden="1" customHeight="1">
      <c r="B38" s="75">
        <v>150</v>
      </c>
      <c r="C38" s="76">
        <v>0</v>
      </c>
      <c r="D38" s="77">
        <f t="shared" si="0"/>
        <v>0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8">
        <f>P37</f>
        <v>2.8</v>
      </c>
      <c r="Q38" s="79">
        <f t="shared" si="1"/>
        <v>1.4</v>
      </c>
      <c r="R38" s="78">
        <f>'[4]Cert of STD'!D29</f>
        <v>0</v>
      </c>
      <c r="S38" s="79">
        <f t="shared" si="2"/>
        <v>0</v>
      </c>
      <c r="T38" s="80" t="e">
        <f>#REF!*2</f>
        <v>#REF!</v>
      </c>
      <c r="U38" s="81" t="e">
        <f t="shared" si="4"/>
        <v>#REF!</v>
      </c>
      <c r="V38" s="82">
        <f>(1/16)*[4]Data!E42</f>
        <v>0</v>
      </c>
      <c r="W38" s="81">
        <f t="shared" si="5"/>
        <v>0</v>
      </c>
      <c r="X38" s="76" t="e">
        <f>X37</f>
        <v>#REF!</v>
      </c>
      <c r="Y38" s="81" t="e">
        <f t="shared" si="5"/>
        <v>#REF!</v>
      </c>
      <c r="Z38" s="81">
        <v>1</v>
      </c>
      <c r="AA38" s="83">
        <f t="shared" si="6"/>
        <v>0.57735026918962584</v>
      </c>
      <c r="AB38" s="77" t="e">
        <f>AB37</f>
        <v>#REF!</v>
      </c>
      <c r="AC38" s="84" t="e">
        <f t="shared" si="7"/>
        <v>#REF!</v>
      </c>
      <c r="AD38" s="83" t="e">
        <f>AD37</f>
        <v>#REF!</v>
      </c>
      <c r="AE38" s="83" t="e">
        <f t="shared" si="8"/>
        <v>#REF!</v>
      </c>
      <c r="AF38" s="85">
        <f>(([4]Data!L40)*(11.5*10^-6)*1)</f>
        <v>1.15011845E-4</v>
      </c>
      <c r="AG38" s="77">
        <f t="shared" si="9"/>
        <v>6.6402119670745514E-5</v>
      </c>
      <c r="AH38" s="77" t="e">
        <f t="shared" si="10"/>
        <v>#REF!</v>
      </c>
      <c r="AI38" s="86">
        <f t="shared" si="11"/>
        <v>0</v>
      </c>
      <c r="AJ38" s="71" t="e">
        <f t="shared" si="12"/>
        <v>#REF!</v>
      </c>
      <c r="AK38" s="74" t="e">
        <f t="shared" si="13"/>
        <v>#REF!</v>
      </c>
      <c r="AL38" s="87" t="e">
        <f t="shared" si="14"/>
        <v>#REF!</v>
      </c>
      <c r="AM38" s="7"/>
      <c r="AN38" s="7"/>
    </row>
    <row r="39" spans="2:40" s="13" customFormat="1" ht="18" hidden="1" customHeight="1">
      <c r="B39" s="75">
        <v>150</v>
      </c>
      <c r="C39" s="76">
        <v>0</v>
      </c>
      <c r="D39" s="77">
        <f t="shared" si="0"/>
        <v>0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8">
        <f t="shared" ref="P39" si="27">P38</f>
        <v>2.8</v>
      </c>
      <c r="Q39" s="79">
        <f t="shared" si="1"/>
        <v>1.4</v>
      </c>
      <c r="R39" s="78">
        <f>'[4]Cert of STD'!D30</f>
        <v>0</v>
      </c>
      <c r="S39" s="79">
        <f t="shared" si="2"/>
        <v>0</v>
      </c>
      <c r="T39" s="80" t="e">
        <f>#REF!*2</f>
        <v>#REF!</v>
      </c>
      <c r="U39" s="81" t="e">
        <f t="shared" si="4"/>
        <v>#REF!</v>
      </c>
      <c r="V39" s="82">
        <f>(1/16)*[4]Data!E43</f>
        <v>0</v>
      </c>
      <c r="W39" s="81">
        <f t="shared" si="5"/>
        <v>0</v>
      </c>
      <c r="X39" s="76" t="e">
        <f t="shared" ref="X39" si="28">X38</f>
        <v>#REF!</v>
      </c>
      <c r="Y39" s="81" t="e">
        <f t="shared" si="5"/>
        <v>#REF!</v>
      </c>
      <c r="Z39" s="81">
        <v>1</v>
      </c>
      <c r="AA39" s="83">
        <f t="shared" si="6"/>
        <v>0.57735026918962584</v>
      </c>
      <c r="AB39" s="77" t="e">
        <f t="shared" ref="AB39" si="29">AB38</f>
        <v>#REF!</v>
      </c>
      <c r="AC39" s="84" t="e">
        <f t="shared" si="7"/>
        <v>#REF!</v>
      </c>
      <c r="AD39" s="83" t="e">
        <f t="shared" ref="AD39" si="30">AD38</f>
        <v>#REF!</v>
      </c>
      <c r="AE39" s="83" t="e">
        <f t="shared" si="8"/>
        <v>#REF!</v>
      </c>
      <c r="AF39" s="85">
        <f>(([4]Data!L41)*(11.5*10^-6)*1)</f>
        <v>1.15011845E-4</v>
      </c>
      <c r="AG39" s="77">
        <f t="shared" si="9"/>
        <v>6.6402119670745514E-5</v>
      </c>
      <c r="AH39" s="77" t="e">
        <f t="shared" si="10"/>
        <v>#REF!</v>
      </c>
      <c r="AI39" s="86">
        <f t="shared" si="11"/>
        <v>0</v>
      </c>
      <c r="AJ39" s="71" t="e">
        <f t="shared" si="12"/>
        <v>#REF!</v>
      </c>
      <c r="AK39" s="74" t="e">
        <f t="shared" si="13"/>
        <v>#REF!</v>
      </c>
      <c r="AL39" s="87" t="e">
        <f t="shared" si="14"/>
        <v>#REF!</v>
      </c>
      <c r="AM39" s="7"/>
      <c r="AN39" s="7"/>
    </row>
    <row r="40" spans="2:40" s="13" customFormat="1" ht="18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2:40" s="13" customFormat="1" ht="18" customHeight="1">
      <c r="B41" s="7"/>
      <c r="C41" s="7"/>
      <c r="D41" s="7"/>
      <c r="E41" s="7"/>
      <c r="F41" s="7"/>
      <c r="G41" s="7"/>
      <c r="H41" s="7"/>
      <c r="Y41" s="7"/>
      <c r="Z41" s="7"/>
      <c r="AA41" s="7"/>
      <c r="AB41" s="7"/>
      <c r="AC41" s="7"/>
    </row>
    <row r="42" spans="2:40" s="13" customFormat="1" ht="18" customHeight="1">
      <c r="B42" s="7"/>
      <c r="C42" s="7"/>
      <c r="D42" s="7"/>
      <c r="E42" s="7"/>
      <c r="F42" s="7"/>
      <c r="G42" s="7"/>
      <c r="H42" s="7"/>
      <c r="Y42" s="7"/>
      <c r="Z42" s="7"/>
      <c r="AA42" s="7"/>
      <c r="AB42" s="7"/>
      <c r="AC42" s="7"/>
    </row>
    <row r="43" spans="2:40" s="13" customFormat="1" ht="18" customHeight="1">
      <c r="B43" s="7"/>
      <c r="C43" s="7"/>
      <c r="D43" s="7"/>
      <c r="E43" s="7"/>
      <c r="F43" s="7"/>
      <c r="G43" s="7"/>
      <c r="H43" s="7"/>
      <c r="Y43" s="7"/>
      <c r="Z43" s="7"/>
      <c r="AA43" s="7"/>
      <c r="AB43" s="7"/>
      <c r="AC43" s="7"/>
    </row>
    <row r="44" spans="2:40" s="13" customFormat="1" ht="18" customHeight="1">
      <c r="B44" s="7"/>
      <c r="C44" s="7"/>
      <c r="D44" s="7"/>
      <c r="E44" s="7"/>
      <c r="F44" s="7"/>
      <c r="G44" s="7"/>
      <c r="H44" s="7"/>
      <c r="Y44" s="7"/>
      <c r="Z44" s="7"/>
      <c r="AA44" s="7"/>
      <c r="AB44" s="7"/>
      <c r="AC44" s="7"/>
    </row>
    <row r="45" spans="2:40" s="13" customFormat="1" ht="18" customHeight="1">
      <c r="B45" s="7"/>
      <c r="C45" s="7"/>
      <c r="D45" s="7"/>
      <c r="E45" s="7"/>
      <c r="F45" s="7"/>
      <c r="G45" s="7"/>
      <c r="H45" s="7"/>
      <c r="Y45" s="7"/>
      <c r="Z45" s="7"/>
      <c r="AA45" s="7"/>
      <c r="AB45" s="7"/>
      <c r="AC45" s="7"/>
    </row>
    <row r="46" spans="2:40" s="13" customFormat="1" ht="18" customHeight="1">
      <c r="B46" s="7"/>
      <c r="C46" s="7"/>
      <c r="D46" s="7"/>
      <c r="E46" s="7"/>
      <c r="F46" s="7"/>
      <c r="G46" s="7"/>
      <c r="H46" s="7"/>
      <c r="Y46" s="7"/>
      <c r="Z46" s="7"/>
      <c r="AA46" s="7"/>
      <c r="AB46" s="7"/>
      <c r="AC46" s="7"/>
    </row>
    <row r="47" spans="2:40" s="13" customFormat="1" ht="18" customHeight="1">
      <c r="B47" s="7"/>
      <c r="C47" s="7"/>
      <c r="D47" s="7"/>
      <c r="E47" s="7"/>
      <c r="F47" s="7"/>
      <c r="G47" s="7"/>
      <c r="H47" s="7"/>
      <c r="Y47" s="7"/>
      <c r="Z47" s="7"/>
      <c r="AA47" s="7"/>
      <c r="AB47" s="7"/>
      <c r="AC47" s="7"/>
    </row>
    <row r="48" spans="2:40" s="13" customFormat="1" ht="18" customHeight="1">
      <c r="B48" s="7"/>
      <c r="C48" s="7"/>
      <c r="D48" s="7"/>
      <c r="E48" s="7"/>
      <c r="F48" s="7"/>
      <c r="G48" s="7"/>
      <c r="H48" s="7"/>
      <c r="Y48" s="7"/>
      <c r="Z48" s="7"/>
      <c r="AA48" s="7"/>
      <c r="AB48" s="7"/>
      <c r="AC48" s="7"/>
    </row>
    <row r="49" spans="2:40" s="13" customFormat="1" ht="18" customHeight="1">
      <c r="B49" s="7"/>
      <c r="C49" s="7"/>
      <c r="D49" s="7"/>
      <c r="E49" s="7"/>
      <c r="F49" s="7"/>
      <c r="G49" s="7"/>
      <c r="H49" s="7"/>
      <c r="Y49" s="7"/>
      <c r="Z49" s="7"/>
      <c r="AA49" s="7"/>
      <c r="AB49" s="7"/>
      <c r="AC49" s="7"/>
    </row>
    <row r="50" spans="2:40" s="13" customFormat="1" ht="18" customHeight="1">
      <c r="B50" s="7"/>
      <c r="C50" s="7"/>
      <c r="D50" s="7"/>
      <c r="E50" s="7"/>
      <c r="F50" s="7"/>
      <c r="G50" s="7"/>
      <c r="H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40" s="13" customFormat="1" ht="18" customHeight="1">
      <c r="B51" s="7"/>
      <c r="C51" s="7"/>
      <c r="D51" s="7"/>
      <c r="E51" s="7"/>
      <c r="F51" s="7"/>
      <c r="G51" s="7"/>
      <c r="H51" s="7"/>
      <c r="R51" s="90"/>
      <c r="S51" s="7"/>
      <c r="U51" s="7"/>
      <c r="W51" s="7"/>
      <c r="X51" s="7"/>
      <c r="Y51" s="7"/>
      <c r="Z51" s="7"/>
      <c r="AA51" s="7"/>
      <c r="AB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2:40" s="13" customFormat="1" ht="18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V52" s="91"/>
      <c r="W52" s="91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2:40" s="13" customFormat="1" ht="1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2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4"/>
      <c r="AI53" s="93"/>
      <c r="AJ53" s="93"/>
      <c r="AK53" s="93"/>
      <c r="AL53" s="95"/>
      <c r="AM53" s="96"/>
      <c r="AN53" s="93"/>
    </row>
    <row r="54" spans="2:40" s="13" customFormat="1" ht="1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2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4"/>
      <c r="AI54" s="93"/>
      <c r="AJ54" s="93"/>
      <c r="AK54" s="93"/>
      <c r="AL54" s="95"/>
      <c r="AM54" s="96"/>
      <c r="AN54" s="93"/>
    </row>
    <row r="55" spans="2:40" s="13" customFormat="1" ht="1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2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4"/>
      <c r="AI55" s="93"/>
      <c r="AJ55" s="93"/>
      <c r="AK55" s="93"/>
      <c r="AL55" s="95"/>
      <c r="AM55" s="96"/>
      <c r="AN55" s="93"/>
    </row>
    <row r="56" spans="2:40">
      <c r="V56" s="93"/>
    </row>
  </sheetData>
  <mergeCells count="76">
    <mergeCell ref="C22:E22"/>
    <mergeCell ref="F22:G22"/>
    <mergeCell ref="H22:I22"/>
    <mergeCell ref="J22:K22"/>
    <mergeCell ref="M22:N22"/>
    <mergeCell ref="C23:E23"/>
    <mergeCell ref="F23:G23"/>
    <mergeCell ref="H23:I23"/>
    <mergeCell ref="J23:K23"/>
    <mergeCell ref="M23:N23"/>
    <mergeCell ref="C20:E20"/>
    <mergeCell ref="F20:G20"/>
    <mergeCell ref="H20:I20"/>
    <mergeCell ref="J20:K20"/>
    <mergeCell ref="M20:N20"/>
    <mergeCell ref="C21:E21"/>
    <mergeCell ref="F21:G21"/>
    <mergeCell ref="H21:I21"/>
    <mergeCell ref="J21:K21"/>
    <mergeCell ref="M21:N21"/>
    <mergeCell ref="C18:E18"/>
    <mergeCell ref="F18:G18"/>
    <mergeCell ref="H18:I18"/>
    <mergeCell ref="J18:K18"/>
    <mergeCell ref="M18:N18"/>
    <mergeCell ref="C19:E19"/>
    <mergeCell ref="F19:G19"/>
    <mergeCell ref="H19:I19"/>
    <mergeCell ref="J19:K19"/>
    <mergeCell ref="M19:N19"/>
    <mergeCell ref="T16:V17"/>
    <mergeCell ref="C17:E17"/>
    <mergeCell ref="F17:G17"/>
    <mergeCell ref="H17:I17"/>
    <mergeCell ref="J17:K17"/>
    <mergeCell ref="M17:N17"/>
    <mergeCell ref="C16:E16"/>
    <mergeCell ref="F16:G16"/>
    <mergeCell ref="H16:I16"/>
    <mergeCell ref="J16:K16"/>
    <mergeCell ref="M16:N16"/>
    <mergeCell ref="S16:S17"/>
    <mergeCell ref="S14:S15"/>
    <mergeCell ref="T14:T15"/>
    <mergeCell ref="C15:E15"/>
    <mergeCell ref="F15:G15"/>
    <mergeCell ref="H15:I15"/>
    <mergeCell ref="J15:K15"/>
    <mergeCell ref="M15:N15"/>
    <mergeCell ref="C14:E14"/>
    <mergeCell ref="F14:G14"/>
    <mergeCell ref="H14:I14"/>
    <mergeCell ref="J14:K14"/>
    <mergeCell ref="M14:N14"/>
    <mergeCell ref="R14:R15"/>
    <mergeCell ref="J12:K13"/>
    <mergeCell ref="L12:L13"/>
    <mergeCell ref="M12:N12"/>
    <mergeCell ref="O12:O13"/>
    <mergeCell ref="F13:G13"/>
    <mergeCell ref="H13:I13"/>
    <mergeCell ref="M13:N13"/>
    <mergeCell ref="D6:E6"/>
    <mergeCell ref="D7:E7"/>
    <mergeCell ref="G8:H8"/>
    <mergeCell ref="G9:H9"/>
    <mergeCell ref="B12:B13"/>
    <mergeCell ref="C12:E13"/>
    <mergeCell ref="F12:G12"/>
    <mergeCell ref="H12:I12"/>
    <mergeCell ref="Q5:R5"/>
    <mergeCell ref="B2:O2"/>
    <mergeCell ref="B5:C5"/>
    <mergeCell ref="E5:F5"/>
    <mergeCell ref="I5:J5"/>
    <mergeCell ref="K5:L5"/>
  </mergeCells>
  <pageMargins left="0.31496062992125984" right="0.31496062992125984" top="0.74803149606299213" bottom="0.74803149606299213" header="0.31496062992125984" footer="0.31496062992125984"/>
  <pageSetup paperSize="9" scale="85" orientation="landscape" r:id="rId1"/>
  <colBreaks count="1" manualBreakCount="1">
    <brk id="38" max="1048575" man="1"/>
  </colBreaks>
  <drawing r:id="rId2"/>
  <legacyDrawing r:id="rId3"/>
  <oleObjects>
    <mc:AlternateContent xmlns:mc="http://schemas.openxmlformats.org/markup-compatibility/2006">
      <mc:Choice Requires="x14">
        <oleObject progId="Equation.3" shapeId="12289" r:id="rId4">
          <objectPr defaultSize="0" autoPict="0" r:id="rId5">
            <anchor moveWithCells="1">
              <from>
                <xdr:col>14</xdr:col>
                <xdr:colOff>171450</xdr:colOff>
                <xdr:row>14</xdr:row>
                <xdr:rowOff>28575</xdr:rowOff>
              </from>
              <to>
                <xdr:col>14</xdr:col>
                <xdr:colOff>428625</xdr:colOff>
                <xdr:row>14</xdr:row>
                <xdr:rowOff>200025</xdr:rowOff>
              </to>
            </anchor>
          </objectPr>
        </oleObject>
      </mc:Choice>
      <mc:Fallback>
        <oleObject progId="Equation.3" shapeId="12289" r:id="rId4"/>
      </mc:Fallback>
    </mc:AlternateContent>
    <mc:AlternateContent xmlns:mc="http://schemas.openxmlformats.org/markup-compatibility/2006">
      <mc:Choice Requires="x14">
        <oleObject progId="Equation.3" shapeId="12290" r:id="rId6">
          <objectPr defaultSize="0" autoPict="0" r:id="rId5">
            <anchor moveWithCells="1">
              <from>
                <xdr:col>14</xdr:col>
                <xdr:colOff>171450</xdr:colOff>
                <xdr:row>15</xdr:row>
                <xdr:rowOff>28575</xdr:rowOff>
              </from>
              <to>
                <xdr:col>14</xdr:col>
                <xdr:colOff>428625</xdr:colOff>
                <xdr:row>15</xdr:row>
                <xdr:rowOff>200025</xdr:rowOff>
              </to>
            </anchor>
          </objectPr>
        </oleObject>
      </mc:Choice>
      <mc:Fallback>
        <oleObject progId="Equation.3" shapeId="12290" r:id="rId6"/>
      </mc:Fallback>
    </mc:AlternateContent>
    <mc:AlternateContent xmlns:mc="http://schemas.openxmlformats.org/markup-compatibility/2006">
      <mc:Choice Requires="x14">
        <oleObject progId="Equation.3" shapeId="12291" r:id="rId7">
          <objectPr defaultSize="0" autoPict="0" r:id="rId5">
            <anchor moveWithCells="1">
              <from>
                <xdr:col>14</xdr:col>
                <xdr:colOff>171450</xdr:colOff>
                <xdr:row>16</xdr:row>
                <xdr:rowOff>28575</xdr:rowOff>
              </from>
              <to>
                <xdr:col>14</xdr:col>
                <xdr:colOff>428625</xdr:colOff>
                <xdr:row>16</xdr:row>
                <xdr:rowOff>200025</xdr:rowOff>
              </to>
            </anchor>
          </objectPr>
        </oleObject>
      </mc:Choice>
      <mc:Fallback>
        <oleObject progId="Equation.3" shapeId="12291" r:id="rId7"/>
      </mc:Fallback>
    </mc:AlternateContent>
    <mc:AlternateContent xmlns:mc="http://schemas.openxmlformats.org/markup-compatibility/2006">
      <mc:Choice Requires="x14">
        <oleObject progId="Equation.3" shapeId="12292" r:id="rId8">
          <objectPr defaultSize="0" autoPict="0" r:id="rId5">
            <anchor moveWithCells="1">
              <from>
                <xdr:col>14</xdr:col>
                <xdr:colOff>171450</xdr:colOff>
                <xdr:row>17</xdr:row>
                <xdr:rowOff>28575</xdr:rowOff>
              </from>
              <to>
                <xdr:col>14</xdr:col>
                <xdr:colOff>428625</xdr:colOff>
                <xdr:row>17</xdr:row>
                <xdr:rowOff>200025</xdr:rowOff>
              </to>
            </anchor>
          </objectPr>
        </oleObject>
      </mc:Choice>
      <mc:Fallback>
        <oleObject progId="Equation.3" shapeId="12292" r:id="rId8"/>
      </mc:Fallback>
    </mc:AlternateContent>
    <mc:AlternateContent xmlns:mc="http://schemas.openxmlformats.org/markup-compatibility/2006">
      <mc:Choice Requires="x14">
        <oleObject progId="Equation.3" shapeId="12293" r:id="rId9">
          <objectPr defaultSize="0" autoPict="0" r:id="rId5">
            <anchor moveWithCells="1">
              <from>
                <xdr:col>14</xdr:col>
                <xdr:colOff>171450</xdr:colOff>
                <xdr:row>18</xdr:row>
                <xdr:rowOff>28575</xdr:rowOff>
              </from>
              <to>
                <xdr:col>14</xdr:col>
                <xdr:colOff>428625</xdr:colOff>
                <xdr:row>18</xdr:row>
                <xdr:rowOff>200025</xdr:rowOff>
              </to>
            </anchor>
          </objectPr>
        </oleObject>
      </mc:Choice>
      <mc:Fallback>
        <oleObject progId="Equation.3" shapeId="12293" r:id="rId9"/>
      </mc:Fallback>
    </mc:AlternateContent>
    <mc:AlternateContent xmlns:mc="http://schemas.openxmlformats.org/markup-compatibility/2006">
      <mc:Choice Requires="x14">
        <oleObject progId="Equation.3" shapeId="12294" r:id="rId10">
          <objectPr defaultSize="0" autoPict="0" r:id="rId5">
            <anchor moveWithCells="1">
              <from>
                <xdr:col>14</xdr:col>
                <xdr:colOff>171450</xdr:colOff>
                <xdr:row>19</xdr:row>
                <xdr:rowOff>28575</xdr:rowOff>
              </from>
              <to>
                <xdr:col>14</xdr:col>
                <xdr:colOff>428625</xdr:colOff>
                <xdr:row>19</xdr:row>
                <xdr:rowOff>200025</xdr:rowOff>
              </to>
            </anchor>
          </objectPr>
        </oleObject>
      </mc:Choice>
      <mc:Fallback>
        <oleObject progId="Equation.3" shapeId="12294" r:id="rId10"/>
      </mc:Fallback>
    </mc:AlternateContent>
    <mc:AlternateContent xmlns:mc="http://schemas.openxmlformats.org/markup-compatibility/2006">
      <mc:Choice Requires="x14">
        <oleObject progId="Equation.3" shapeId="12295" r:id="rId11">
          <objectPr defaultSize="0" autoPict="0" r:id="rId5">
            <anchor moveWithCells="1">
              <from>
                <xdr:col>14</xdr:col>
                <xdr:colOff>171450</xdr:colOff>
                <xdr:row>20</xdr:row>
                <xdr:rowOff>28575</xdr:rowOff>
              </from>
              <to>
                <xdr:col>14</xdr:col>
                <xdr:colOff>428625</xdr:colOff>
                <xdr:row>20</xdr:row>
                <xdr:rowOff>200025</xdr:rowOff>
              </to>
            </anchor>
          </objectPr>
        </oleObject>
      </mc:Choice>
      <mc:Fallback>
        <oleObject progId="Equation.3" shapeId="12295" r:id="rId11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X56"/>
  <sheetViews>
    <sheetView topLeftCell="A2" zoomScale="90" zoomScaleNormal="90" zoomScaleSheetLayoutView="100" workbookViewId="0">
      <selection activeCell="M23" sqref="M23:N23"/>
    </sheetView>
  </sheetViews>
  <sheetFormatPr defaultRowHeight="15"/>
  <cols>
    <col min="1" max="1" width="1.140625" style="51" customWidth="1"/>
    <col min="2" max="29" width="7.5703125" style="51" customWidth="1"/>
    <col min="30" max="38" width="7.140625" style="51" customWidth="1"/>
    <col min="39" max="39" width="4.42578125" style="51" customWidth="1"/>
    <col min="40" max="40" width="7.140625" style="51" customWidth="1"/>
    <col min="41" max="41" width="1.42578125" style="51" customWidth="1"/>
    <col min="48" max="276" width="9.140625" style="51"/>
    <col min="277" max="277" width="1.140625" style="51" customWidth="1"/>
    <col min="278" max="278" width="7.5703125" style="51" customWidth="1"/>
    <col min="279" max="293" width="7.140625" style="51" customWidth="1"/>
    <col min="294" max="295" width="1.42578125" style="51" customWidth="1"/>
    <col min="296" max="296" width="6.42578125" style="51" customWidth="1"/>
    <col min="297" max="298" width="8.7109375" style="51" bestFit="1" customWidth="1"/>
    <col min="299" max="532" width="9.140625" style="51"/>
    <col min="533" max="533" width="1.140625" style="51" customWidth="1"/>
    <col min="534" max="534" width="7.5703125" style="51" customWidth="1"/>
    <col min="535" max="549" width="7.140625" style="51" customWidth="1"/>
    <col min="550" max="551" width="1.42578125" style="51" customWidth="1"/>
    <col min="552" max="552" width="6.42578125" style="51" customWidth="1"/>
    <col min="553" max="554" width="8.7109375" style="51" bestFit="1" customWidth="1"/>
    <col min="555" max="788" width="9.140625" style="51"/>
    <col min="789" max="789" width="1.140625" style="51" customWidth="1"/>
    <col min="790" max="790" width="7.5703125" style="51" customWidth="1"/>
    <col min="791" max="805" width="7.140625" style="51" customWidth="1"/>
    <col min="806" max="807" width="1.42578125" style="51" customWidth="1"/>
    <col min="808" max="808" width="6.42578125" style="51" customWidth="1"/>
    <col min="809" max="810" width="8.7109375" style="51" bestFit="1" customWidth="1"/>
    <col min="811" max="1044" width="9.140625" style="51"/>
    <col min="1045" max="1045" width="1.140625" style="51" customWidth="1"/>
    <col min="1046" max="1046" width="7.5703125" style="51" customWidth="1"/>
    <col min="1047" max="1061" width="7.140625" style="51" customWidth="1"/>
    <col min="1062" max="1063" width="1.42578125" style="51" customWidth="1"/>
    <col min="1064" max="1064" width="6.42578125" style="51" customWidth="1"/>
    <col min="1065" max="1066" width="8.7109375" style="51" bestFit="1" customWidth="1"/>
    <col min="1067" max="1300" width="9.140625" style="51"/>
    <col min="1301" max="1301" width="1.140625" style="51" customWidth="1"/>
    <col min="1302" max="1302" width="7.5703125" style="51" customWidth="1"/>
    <col min="1303" max="1317" width="7.140625" style="51" customWidth="1"/>
    <col min="1318" max="1319" width="1.42578125" style="51" customWidth="1"/>
    <col min="1320" max="1320" width="6.42578125" style="51" customWidth="1"/>
    <col min="1321" max="1322" width="8.7109375" style="51" bestFit="1" customWidth="1"/>
    <col min="1323" max="1556" width="9.140625" style="51"/>
    <col min="1557" max="1557" width="1.140625" style="51" customWidth="1"/>
    <col min="1558" max="1558" width="7.5703125" style="51" customWidth="1"/>
    <col min="1559" max="1573" width="7.140625" style="51" customWidth="1"/>
    <col min="1574" max="1575" width="1.42578125" style="51" customWidth="1"/>
    <col min="1576" max="1576" width="6.42578125" style="51" customWidth="1"/>
    <col min="1577" max="1578" width="8.7109375" style="51" bestFit="1" customWidth="1"/>
    <col min="1579" max="1812" width="9.140625" style="51"/>
    <col min="1813" max="1813" width="1.140625" style="51" customWidth="1"/>
    <col min="1814" max="1814" width="7.5703125" style="51" customWidth="1"/>
    <col min="1815" max="1829" width="7.140625" style="51" customWidth="1"/>
    <col min="1830" max="1831" width="1.42578125" style="51" customWidth="1"/>
    <col min="1832" max="1832" width="6.42578125" style="51" customWidth="1"/>
    <col min="1833" max="1834" width="8.7109375" style="51" bestFit="1" customWidth="1"/>
    <col min="1835" max="2068" width="9.140625" style="51"/>
    <col min="2069" max="2069" width="1.140625" style="51" customWidth="1"/>
    <col min="2070" max="2070" width="7.5703125" style="51" customWidth="1"/>
    <col min="2071" max="2085" width="7.140625" style="51" customWidth="1"/>
    <col min="2086" max="2087" width="1.42578125" style="51" customWidth="1"/>
    <col min="2088" max="2088" width="6.42578125" style="51" customWidth="1"/>
    <col min="2089" max="2090" width="8.7109375" style="51" bestFit="1" customWidth="1"/>
    <col min="2091" max="2324" width="9.140625" style="51"/>
    <col min="2325" max="2325" width="1.140625" style="51" customWidth="1"/>
    <col min="2326" max="2326" width="7.5703125" style="51" customWidth="1"/>
    <col min="2327" max="2341" width="7.140625" style="51" customWidth="1"/>
    <col min="2342" max="2343" width="1.42578125" style="51" customWidth="1"/>
    <col min="2344" max="2344" width="6.42578125" style="51" customWidth="1"/>
    <col min="2345" max="2346" width="8.7109375" style="51" bestFit="1" customWidth="1"/>
    <col min="2347" max="2580" width="9.140625" style="51"/>
    <col min="2581" max="2581" width="1.140625" style="51" customWidth="1"/>
    <col min="2582" max="2582" width="7.5703125" style="51" customWidth="1"/>
    <col min="2583" max="2597" width="7.140625" style="51" customWidth="1"/>
    <col min="2598" max="2599" width="1.42578125" style="51" customWidth="1"/>
    <col min="2600" max="2600" width="6.42578125" style="51" customWidth="1"/>
    <col min="2601" max="2602" width="8.7109375" style="51" bestFit="1" customWidth="1"/>
    <col min="2603" max="2836" width="9.140625" style="51"/>
    <col min="2837" max="2837" width="1.140625" style="51" customWidth="1"/>
    <col min="2838" max="2838" width="7.5703125" style="51" customWidth="1"/>
    <col min="2839" max="2853" width="7.140625" style="51" customWidth="1"/>
    <col min="2854" max="2855" width="1.42578125" style="51" customWidth="1"/>
    <col min="2856" max="2856" width="6.42578125" style="51" customWidth="1"/>
    <col min="2857" max="2858" width="8.7109375" style="51" bestFit="1" customWidth="1"/>
    <col min="2859" max="3092" width="9.140625" style="51"/>
    <col min="3093" max="3093" width="1.140625" style="51" customWidth="1"/>
    <col min="3094" max="3094" width="7.5703125" style="51" customWidth="1"/>
    <col min="3095" max="3109" width="7.140625" style="51" customWidth="1"/>
    <col min="3110" max="3111" width="1.42578125" style="51" customWidth="1"/>
    <col min="3112" max="3112" width="6.42578125" style="51" customWidth="1"/>
    <col min="3113" max="3114" width="8.7109375" style="51" bestFit="1" customWidth="1"/>
    <col min="3115" max="3348" width="9.140625" style="51"/>
    <col min="3349" max="3349" width="1.140625" style="51" customWidth="1"/>
    <col min="3350" max="3350" width="7.5703125" style="51" customWidth="1"/>
    <col min="3351" max="3365" width="7.140625" style="51" customWidth="1"/>
    <col min="3366" max="3367" width="1.42578125" style="51" customWidth="1"/>
    <col min="3368" max="3368" width="6.42578125" style="51" customWidth="1"/>
    <col min="3369" max="3370" width="8.7109375" style="51" bestFit="1" customWidth="1"/>
    <col min="3371" max="3604" width="9.140625" style="51"/>
    <col min="3605" max="3605" width="1.140625" style="51" customWidth="1"/>
    <col min="3606" max="3606" width="7.5703125" style="51" customWidth="1"/>
    <col min="3607" max="3621" width="7.140625" style="51" customWidth="1"/>
    <col min="3622" max="3623" width="1.42578125" style="51" customWidth="1"/>
    <col min="3624" max="3624" width="6.42578125" style="51" customWidth="1"/>
    <col min="3625" max="3626" width="8.7109375" style="51" bestFit="1" customWidth="1"/>
    <col min="3627" max="3860" width="9.140625" style="51"/>
    <col min="3861" max="3861" width="1.140625" style="51" customWidth="1"/>
    <col min="3862" max="3862" width="7.5703125" style="51" customWidth="1"/>
    <col min="3863" max="3877" width="7.140625" style="51" customWidth="1"/>
    <col min="3878" max="3879" width="1.42578125" style="51" customWidth="1"/>
    <col min="3880" max="3880" width="6.42578125" style="51" customWidth="1"/>
    <col min="3881" max="3882" width="8.7109375" style="51" bestFit="1" customWidth="1"/>
    <col min="3883" max="4116" width="9.140625" style="51"/>
    <col min="4117" max="4117" width="1.140625" style="51" customWidth="1"/>
    <col min="4118" max="4118" width="7.5703125" style="51" customWidth="1"/>
    <col min="4119" max="4133" width="7.140625" style="51" customWidth="1"/>
    <col min="4134" max="4135" width="1.42578125" style="51" customWidth="1"/>
    <col min="4136" max="4136" width="6.42578125" style="51" customWidth="1"/>
    <col min="4137" max="4138" width="8.7109375" style="51" bestFit="1" customWidth="1"/>
    <col min="4139" max="4372" width="9.140625" style="51"/>
    <col min="4373" max="4373" width="1.140625" style="51" customWidth="1"/>
    <col min="4374" max="4374" width="7.5703125" style="51" customWidth="1"/>
    <col min="4375" max="4389" width="7.140625" style="51" customWidth="1"/>
    <col min="4390" max="4391" width="1.42578125" style="51" customWidth="1"/>
    <col min="4392" max="4392" width="6.42578125" style="51" customWidth="1"/>
    <col min="4393" max="4394" width="8.7109375" style="51" bestFit="1" customWidth="1"/>
    <col min="4395" max="4628" width="9.140625" style="51"/>
    <col min="4629" max="4629" width="1.140625" style="51" customWidth="1"/>
    <col min="4630" max="4630" width="7.5703125" style="51" customWidth="1"/>
    <col min="4631" max="4645" width="7.140625" style="51" customWidth="1"/>
    <col min="4646" max="4647" width="1.42578125" style="51" customWidth="1"/>
    <col min="4648" max="4648" width="6.42578125" style="51" customWidth="1"/>
    <col min="4649" max="4650" width="8.7109375" style="51" bestFit="1" customWidth="1"/>
    <col min="4651" max="4884" width="9.140625" style="51"/>
    <col min="4885" max="4885" width="1.140625" style="51" customWidth="1"/>
    <col min="4886" max="4886" width="7.5703125" style="51" customWidth="1"/>
    <col min="4887" max="4901" width="7.140625" style="51" customWidth="1"/>
    <col min="4902" max="4903" width="1.42578125" style="51" customWidth="1"/>
    <col min="4904" max="4904" width="6.42578125" style="51" customWidth="1"/>
    <col min="4905" max="4906" width="8.7109375" style="51" bestFit="1" customWidth="1"/>
    <col min="4907" max="5140" width="9.140625" style="51"/>
    <col min="5141" max="5141" width="1.140625" style="51" customWidth="1"/>
    <col min="5142" max="5142" width="7.5703125" style="51" customWidth="1"/>
    <col min="5143" max="5157" width="7.140625" style="51" customWidth="1"/>
    <col min="5158" max="5159" width="1.42578125" style="51" customWidth="1"/>
    <col min="5160" max="5160" width="6.42578125" style="51" customWidth="1"/>
    <col min="5161" max="5162" width="8.7109375" style="51" bestFit="1" customWidth="1"/>
    <col min="5163" max="5396" width="9.140625" style="51"/>
    <col min="5397" max="5397" width="1.140625" style="51" customWidth="1"/>
    <col min="5398" max="5398" width="7.5703125" style="51" customWidth="1"/>
    <col min="5399" max="5413" width="7.140625" style="51" customWidth="1"/>
    <col min="5414" max="5415" width="1.42578125" style="51" customWidth="1"/>
    <col min="5416" max="5416" width="6.42578125" style="51" customWidth="1"/>
    <col min="5417" max="5418" width="8.7109375" style="51" bestFit="1" customWidth="1"/>
    <col min="5419" max="5652" width="9.140625" style="51"/>
    <col min="5653" max="5653" width="1.140625" style="51" customWidth="1"/>
    <col min="5654" max="5654" width="7.5703125" style="51" customWidth="1"/>
    <col min="5655" max="5669" width="7.140625" style="51" customWidth="1"/>
    <col min="5670" max="5671" width="1.42578125" style="51" customWidth="1"/>
    <col min="5672" max="5672" width="6.42578125" style="51" customWidth="1"/>
    <col min="5673" max="5674" width="8.7109375" style="51" bestFit="1" customWidth="1"/>
    <col min="5675" max="5908" width="9.140625" style="51"/>
    <col min="5909" max="5909" width="1.140625" style="51" customWidth="1"/>
    <col min="5910" max="5910" width="7.5703125" style="51" customWidth="1"/>
    <col min="5911" max="5925" width="7.140625" style="51" customWidth="1"/>
    <col min="5926" max="5927" width="1.42578125" style="51" customWidth="1"/>
    <col min="5928" max="5928" width="6.42578125" style="51" customWidth="1"/>
    <col min="5929" max="5930" width="8.7109375" style="51" bestFit="1" customWidth="1"/>
    <col min="5931" max="6164" width="9.140625" style="51"/>
    <col min="6165" max="6165" width="1.140625" style="51" customWidth="1"/>
    <col min="6166" max="6166" width="7.5703125" style="51" customWidth="1"/>
    <col min="6167" max="6181" width="7.140625" style="51" customWidth="1"/>
    <col min="6182" max="6183" width="1.42578125" style="51" customWidth="1"/>
    <col min="6184" max="6184" width="6.42578125" style="51" customWidth="1"/>
    <col min="6185" max="6186" width="8.7109375" style="51" bestFit="1" customWidth="1"/>
    <col min="6187" max="6420" width="9.140625" style="51"/>
    <col min="6421" max="6421" width="1.140625" style="51" customWidth="1"/>
    <col min="6422" max="6422" width="7.5703125" style="51" customWidth="1"/>
    <col min="6423" max="6437" width="7.140625" style="51" customWidth="1"/>
    <col min="6438" max="6439" width="1.42578125" style="51" customWidth="1"/>
    <col min="6440" max="6440" width="6.42578125" style="51" customWidth="1"/>
    <col min="6441" max="6442" width="8.7109375" style="51" bestFit="1" customWidth="1"/>
    <col min="6443" max="6676" width="9.140625" style="51"/>
    <col min="6677" max="6677" width="1.140625" style="51" customWidth="1"/>
    <col min="6678" max="6678" width="7.5703125" style="51" customWidth="1"/>
    <col min="6679" max="6693" width="7.140625" style="51" customWidth="1"/>
    <col min="6694" max="6695" width="1.42578125" style="51" customWidth="1"/>
    <col min="6696" max="6696" width="6.42578125" style="51" customWidth="1"/>
    <col min="6697" max="6698" width="8.7109375" style="51" bestFit="1" customWidth="1"/>
    <col min="6699" max="6932" width="9.140625" style="51"/>
    <col min="6933" max="6933" width="1.140625" style="51" customWidth="1"/>
    <col min="6934" max="6934" width="7.5703125" style="51" customWidth="1"/>
    <col min="6935" max="6949" width="7.140625" style="51" customWidth="1"/>
    <col min="6950" max="6951" width="1.42578125" style="51" customWidth="1"/>
    <col min="6952" max="6952" width="6.42578125" style="51" customWidth="1"/>
    <col min="6953" max="6954" width="8.7109375" style="51" bestFit="1" customWidth="1"/>
    <col min="6955" max="7188" width="9.140625" style="51"/>
    <col min="7189" max="7189" width="1.140625" style="51" customWidth="1"/>
    <col min="7190" max="7190" width="7.5703125" style="51" customWidth="1"/>
    <col min="7191" max="7205" width="7.140625" style="51" customWidth="1"/>
    <col min="7206" max="7207" width="1.42578125" style="51" customWidth="1"/>
    <col min="7208" max="7208" width="6.42578125" style="51" customWidth="1"/>
    <col min="7209" max="7210" width="8.7109375" style="51" bestFit="1" customWidth="1"/>
    <col min="7211" max="7444" width="9.140625" style="51"/>
    <col min="7445" max="7445" width="1.140625" style="51" customWidth="1"/>
    <col min="7446" max="7446" width="7.5703125" style="51" customWidth="1"/>
    <col min="7447" max="7461" width="7.140625" style="51" customWidth="1"/>
    <col min="7462" max="7463" width="1.42578125" style="51" customWidth="1"/>
    <col min="7464" max="7464" width="6.42578125" style="51" customWidth="1"/>
    <col min="7465" max="7466" width="8.7109375" style="51" bestFit="1" customWidth="1"/>
    <col min="7467" max="7700" width="9.140625" style="51"/>
    <col min="7701" max="7701" width="1.140625" style="51" customWidth="1"/>
    <col min="7702" max="7702" width="7.5703125" style="51" customWidth="1"/>
    <col min="7703" max="7717" width="7.140625" style="51" customWidth="1"/>
    <col min="7718" max="7719" width="1.42578125" style="51" customWidth="1"/>
    <col min="7720" max="7720" width="6.42578125" style="51" customWidth="1"/>
    <col min="7721" max="7722" width="8.7109375" style="51" bestFit="1" customWidth="1"/>
    <col min="7723" max="7956" width="9.140625" style="51"/>
    <col min="7957" max="7957" width="1.140625" style="51" customWidth="1"/>
    <col min="7958" max="7958" width="7.5703125" style="51" customWidth="1"/>
    <col min="7959" max="7973" width="7.140625" style="51" customWidth="1"/>
    <col min="7974" max="7975" width="1.42578125" style="51" customWidth="1"/>
    <col min="7976" max="7976" width="6.42578125" style="51" customWidth="1"/>
    <col min="7977" max="7978" width="8.7109375" style="51" bestFit="1" customWidth="1"/>
    <col min="7979" max="8212" width="9.140625" style="51"/>
    <col min="8213" max="8213" width="1.140625" style="51" customWidth="1"/>
    <col min="8214" max="8214" width="7.5703125" style="51" customWidth="1"/>
    <col min="8215" max="8229" width="7.140625" style="51" customWidth="1"/>
    <col min="8230" max="8231" width="1.42578125" style="51" customWidth="1"/>
    <col min="8232" max="8232" width="6.42578125" style="51" customWidth="1"/>
    <col min="8233" max="8234" width="8.7109375" style="51" bestFit="1" customWidth="1"/>
    <col min="8235" max="8468" width="9.140625" style="51"/>
    <col min="8469" max="8469" width="1.140625" style="51" customWidth="1"/>
    <col min="8470" max="8470" width="7.5703125" style="51" customWidth="1"/>
    <col min="8471" max="8485" width="7.140625" style="51" customWidth="1"/>
    <col min="8486" max="8487" width="1.42578125" style="51" customWidth="1"/>
    <col min="8488" max="8488" width="6.42578125" style="51" customWidth="1"/>
    <col min="8489" max="8490" width="8.7109375" style="51" bestFit="1" customWidth="1"/>
    <col min="8491" max="8724" width="9.140625" style="51"/>
    <col min="8725" max="8725" width="1.140625" style="51" customWidth="1"/>
    <col min="8726" max="8726" width="7.5703125" style="51" customWidth="1"/>
    <col min="8727" max="8741" width="7.140625" style="51" customWidth="1"/>
    <col min="8742" max="8743" width="1.42578125" style="51" customWidth="1"/>
    <col min="8744" max="8744" width="6.42578125" style="51" customWidth="1"/>
    <col min="8745" max="8746" width="8.7109375" style="51" bestFit="1" customWidth="1"/>
    <col min="8747" max="8980" width="9.140625" style="51"/>
    <col min="8981" max="8981" width="1.140625" style="51" customWidth="1"/>
    <col min="8982" max="8982" width="7.5703125" style="51" customWidth="1"/>
    <col min="8983" max="8997" width="7.140625" style="51" customWidth="1"/>
    <col min="8998" max="8999" width="1.42578125" style="51" customWidth="1"/>
    <col min="9000" max="9000" width="6.42578125" style="51" customWidth="1"/>
    <col min="9001" max="9002" width="8.7109375" style="51" bestFit="1" customWidth="1"/>
    <col min="9003" max="9236" width="9.140625" style="51"/>
    <col min="9237" max="9237" width="1.140625" style="51" customWidth="1"/>
    <col min="9238" max="9238" width="7.5703125" style="51" customWidth="1"/>
    <col min="9239" max="9253" width="7.140625" style="51" customWidth="1"/>
    <col min="9254" max="9255" width="1.42578125" style="51" customWidth="1"/>
    <col min="9256" max="9256" width="6.42578125" style="51" customWidth="1"/>
    <col min="9257" max="9258" width="8.7109375" style="51" bestFit="1" customWidth="1"/>
    <col min="9259" max="9492" width="9.140625" style="51"/>
    <col min="9493" max="9493" width="1.140625" style="51" customWidth="1"/>
    <col min="9494" max="9494" width="7.5703125" style="51" customWidth="1"/>
    <col min="9495" max="9509" width="7.140625" style="51" customWidth="1"/>
    <col min="9510" max="9511" width="1.42578125" style="51" customWidth="1"/>
    <col min="9512" max="9512" width="6.42578125" style="51" customWidth="1"/>
    <col min="9513" max="9514" width="8.7109375" style="51" bestFit="1" customWidth="1"/>
    <col min="9515" max="9748" width="9.140625" style="51"/>
    <col min="9749" max="9749" width="1.140625" style="51" customWidth="1"/>
    <col min="9750" max="9750" width="7.5703125" style="51" customWidth="1"/>
    <col min="9751" max="9765" width="7.140625" style="51" customWidth="1"/>
    <col min="9766" max="9767" width="1.42578125" style="51" customWidth="1"/>
    <col min="9768" max="9768" width="6.42578125" style="51" customWidth="1"/>
    <col min="9769" max="9770" width="8.7109375" style="51" bestFit="1" customWidth="1"/>
    <col min="9771" max="10004" width="9.140625" style="51"/>
    <col min="10005" max="10005" width="1.140625" style="51" customWidth="1"/>
    <col min="10006" max="10006" width="7.5703125" style="51" customWidth="1"/>
    <col min="10007" max="10021" width="7.140625" style="51" customWidth="1"/>
    <col min="10022" max="10023" width="1.42578125" style="51" customWidth="1"/>
    <col min="10024" max="10024" width="6.42578125" style="51" customWidth="1"/>
    <col min="10025" max="10026" width="8.7109375" style="51" bestFit="1" customWidth="1"/>
    <col min="10027" max="10260" width="9.140625" style="51"/>
    <col min="10261" max="10261" width="1.140625" style="51" customWidth="1"/>
    <col min="10262" max="10262" width="7.5703125" style="51" customWidth="1"/>
    <col min="10263" max="10277" width="7.140625" style="51" customWidth="1"/>
    <col min="10278" max="10279" width="1.42578125" style="51" customWidth="1"/>
    <col min="10280" max="10280" width="6.42578125" style="51" customWidth="1"/>
    <col min="10281" max="10282" width="8.7109375" style="51" bestFit="1" customWidth="1"/>
    <col min="10283" max="10516" width="9.140625" style="51"/>
    <col min="10517" max="10517" width="1.140625" style="51" customWidth="1"/>
    <col min="10518" max="10518" width="7.5703125" style="51" customWidth="1"/>
    <col min="10519" max="10533" width="7.140625" style="51" customWidth="1"/>
    <col min="10534" max="10535" width="1.42578125" style="51" customWidth="1"/>
    <col min="10536" max="10536" width="6.42578125" style="51" customWidth="1"/>
    <col min="10537" max="10538" width="8.7109375" style="51" bestFit="1" customWidth="1"/>
    <col min="10539" max="10772" width="9.140625" style="51"/>
    <col min="10773" max="10773" width="1.140625" style="51" customWidth="1"/>
    <col min="10774" max="10774" width="7.5703125" style="51" customWidth="1"/>
    <col min="10775" max="10789" width="7.140625" style="51" customWidth="1"/>
    <col min="10790" max="10791" width="1.42578125" style="51" customWidth="1"/>
    <col min="10792" max="10792" width="6.42578125" style="51" customWidth="1"/>
    <col min="10793" max="10794" width="8.7109375" style="51" bestFit="1" customWidth="1"/>
    <col min="10795" max="11028" width="9.140625" style="51"/>
    <col min="11029" max="11029" width="1.140625" style="51" customWidth="1"/>
    <col min="11030" max="11030" width="7.5703125" style="51" customWidth="1"/>
    <col min="11031" max="11045" width="7.140625" style="51" customWidth="1"/>
    <col min="11046" max="11047" width="1.42578125" style="51" customWidth="1"/>
    <col min="11048" max="11048" width="6.42578125" style="51" customWidth="1"/>
    <col min="11049" max="11050" width="8.7109375" style="51" bestFit="1" customWidth="1"/>
    <col min="11051" max="11284" width="9.140625" style="51"/>
    <col min="11285" max="11285" width="1.140625" style="51" customWidth="1"/>
    <col min="11286" max="11286" width="7.5703125" style="51" customWidth="1"/>
    <col min="11287" max="11301" width="7.140625" style="51" customWidth="1"/>
    <col min="11302" max="11303" width="1.42578125" style="51" customWidth="1"/>
    <col min="11304" max="11304" width="6.42578125" style="51" customWidth="1"/>
    <col min="11305" max="11306" width="8.7109375" style="51" bestFit="1" customWidth="1"/>
    <col min="11307" max="11540" width="9.140625" style="51"/>
    <col min="11541" max="11541" width="1.140625" style="51" customWidth="1"/>
    <col min="11542" max="11542" width="7.5703125" style="51" customWidth="1"/>
    <col min="11543" max="11557" width="7.140625" style="51" customWidth="1"/>
    <col min="11558" max="11559" width="1.42578125" style="51" customWidth="1"/>
    <col min="11560" max="11560" width="6.42578125" style="51" customWidth="1"/>
    <col min="11561" max="11562" width="8.7109375" style="51" bestFit="1" customWidth="1"/>
    <col min="11563" max="11796" width="9.140625" style="51"/>
    <col min="11797" max="11797" width="1.140625" style="51" customWidth="1"/>
    <col min="11798" max="11798" width="7.5703125" style="51" customWidth="1"/>
    <col min="11799" max="11813" width="7.140625" style="51" customWidth="1"/>
    <col min="11814" max="11815" width="1.42578125" style="51" customWidth="1"/>
    <col min="11816" max="11816" width="6.42578125" style="51" customWidth="1"/>
    <col min="11817" max="11818" width="8.7109375" style="51" bestFit="1" customWidth="1"/>
    <col min="11819" max="12052" width="9.140625" style="51"/>
    <col min="12053" max="12053" width="1.140625" style="51" customWidth="1"/>
    <col min="12054" max="12054" width="7.5703125" style="51" customWidth="1"/>
    <col min="12055" max="12069" width="7.140625" style="51" customWidth="1"/>
    <col min="12070" max="12071" width="1.42578125" style="51" customWidth="1"/>
    <col min="12072" max="12072" width="6.42578125" style="51" customWidth="1"/>
    <col min="12073" max="12074" width="8.7109375" style="51" bestFit="1" customWidth="1"/>
    <col min="12075" max="12308" width="9.140625" style="51"/>
    <col min="12309" max="12309" width="1.140625" style="51" customWidth="1"/>
    <col min="12310" max="12310" width="7.5703125" style="51" customWidth="1"/>
    <col min="12311" max="12325" width="7.140625" style="51" customWidth="1"/>
    <col min="12326" max="12327" width="1.42578125" style="51" customWidth="1"/>
    <col min="12328" max="12328" width="6.42578125" style="51" customWidth="1"/>
    <col min="12329" max="12330" width="8.7109375" style="51" bestFit="1" customWidth="1"/>
    <col min="12331" max="12564" width="9.140625" style="51"/>
    <col min="12565" max="12565" width="1.140625" style="51" customWidth="1"/>
    <col min="12566" max="12566" width="7.5703125" style="51" customWidth="1"/>
    <col min="12567" max="12581" width="7.140625" style="51" customWidth="1"/>
    <col min="12582" max="12583" width="1.42578125" style="51" customWidth="1"/>
    <col min="12584" max="12584" width="6.42578125" style="51" customWidth="1"/>
    <col min="12585" max="12586" width="8.7109375" style="51" bestFit="1" customWidth="1"/>
    <col min="12587" max="12820" width="9.140625" style="51"/>
    <col min="12821" max="12821" width="1.140625" style="51" customWidth="1"/>
    <col min="12822" max="12822" width="7.5703125" style="51" customWidth="1"/>
    <col min="12823" max="12837" width="7.140625" style="51" customWidth="1"/>
    <col min="12838" max="12839" width="1.42578125" style="51" customWidth="1"/>
    <col min="12840" max="12840" width="6.42578125" style="51" customWidth="1"/>
    <col min="12841" max="12842" width="8.7109375" style="51" bestFit="1" customWidth="1"/>
    <col min="12843" max="13076" width="9.140625" style="51"/>
    <col min="13077" max="13077" width="1.140625" style="51" customWidth="1"/>
    <col min="13078" max="13078" width="7.5703125" style="51" customWidth="1"/>
    <col min="13079" max="13093" width="7.140625" style="51" customWidth="1"/>
    <col min="13094" max="13095" width="1.42578125" style="51" customWidth="1"/>
    <col min="13096" max="13096" width="6.42578125" style="51" customWidth="1"/>
    <col min="13097" max="13098" width="8.7109375" style="51" bestFit="1" customWidth="1"/>
    <col min="13099" max="13332" width="9.140625" style="51"/>
    <col min="13333" max="13333" width="1.140625" style="51" customWidth="1"/>
    <col min="13334" max="13334" width="7.5703125" style="51" customWidth="1"/>
    <col min="13335" max="13349" width="7.140625" style="51" customWidth="1"/>
    <col min="13350" max="13351" width="1.42578125" style="51" customWidth="1"/>
    <col min="13352" max="13352" width="6.42578125" style="51" customWidth="1"/>
    <col min="13353" max="13354" width="8.7109375" style="51" bestFit="1" customWidth="1"/>
    <col min="13355" max="13588" width="9.140625" style="51"/>
    <col min="13589" max="13589" width="1.140625" style="51" customWidth="1"/>
    <col min="13590" max="13590" width="7.5703125" style="51" customWidth="1"/>
    <col min="13591" max="13605" width="7.140625" style="51" customWidth="1"/>
    <col min="13606" max="13607" width="1.42578125" style="51" customWidth="1"/>
    <col min="13608" max="13608" width="6.42578125" style="51" customWidth="1"/>
    <col min="13609" max="13610" width="8.7109375" style="51" bestFit="1" customWidth="1"/>
    <col min="13611" max="13844" width="9.140625" style="51"/>
    <col min="13845" max="13845" width="1.140625" style="51" customWidth="1"/>
    <col min="13846" max="13846" width="7.5703125" style="51" customWidth="1"/>
    <col min="13847" max="13861" width="7.140625" style="51" customWidth="1"/>
    <col min="13862" max="13863" width="1.42578125" style="51" customWidth="1"/>
    <col min="13864" max="13864" width="6.42578125" style="51" customWidth="1"/>
    <col min="13865" max="13866" width="8.7109375" style="51" bestFit="1" customWidth="1"/>
    <col min="13867" max="14100" width="9.140625" style="51"/>
    <col min="14101" max="14101" width="1.140625" style="51" customWidth="1"/>
    <col min="14102" max="14102" width="7.5703125" style="51" customWidth="1"/>
    <col min="14103" max="14117" width="7.140625" style="51" customWidth="1"/>
    <col min="14118" max="14119" width="1.42578125" style="51" customWidth="1"/>
    <col min="14120" max="14120" width="6.42578125" style="51" customWidth="1"/>
    <col min="14121" max="14122" width="8.7109375" style="51" bestFit="1" customWidth="1"/>
    <col min="14123" max="14356" width="9.140625" style="51"/>
    <col min="14357" max="14357" width="1.140625" style="51" customWidth="1"/>
    <col min="14358" max="14358" width="7.5703125" style="51" customWidth="1"/>
    <col min="14359" max="14373" width="7.140625" style="51" customWidth="1"/>
    <col min="14374" max="14375" width="1.42578125" style="51" customWidth="1"/>
    <col min="14376" max="14376" width="6.42578125" style="51" customWidth="1"/>
    <col min="14377" max="14378" width="8.7109375" style="51" bestFit="1" customWidth="1"/>
    <col min="14379" max="14612" width="9.140625" style="51"/>
    <col min="14613" max="14613" width="1.140625" style="51" customWidth="1"/>
    <col min="14614" max="14614" width="7.5703125" style="51" customWidth="1"/>
    <col min="14615" max="14629" width="7.140625" style="51" customWidth="1"/>
    <col min="14630" max="14631" width="1.42578125" style="51" customWidth="1"/>
    <col min="14632" max="14632" width="6.42578125" style="51" customWidth="1"/>
    <col min="14633" max="14634" width="8.7109375" style="51" bestFit="1" customWidth="1"/>
    <col min="14635" max="14868" width="9.140625" style="51"/>
    <col min="14869" max="14869" width="1.140625" style="51" customWidth="1"/>
    <col min="14870" max="14870" width="7.5703125" style="51" customWidth="1"/>
    <col min="14871" max="14885" width="7.140625" style="51" customWidth="1"/>
    <col min="14886" max="14887" width="1.42578125" style="51" customWidth="1"/>
    <col min="14888" max="14888" width="6.42578125" style="51" customWidth="1"/>
    <col min="14889" max="14890" width="8.7109375" style="51" bestFit="1" customWidth="1"/>
    <col min="14891" max="15124" width="9.140625" style="51"/>
    <col min="15125" max="15125" width="1.140625" style="51" customWidth="1"/>
    <col min="15126" max="15126" width="7.5703125" style="51" customWidth="1"/>
    <col min="15127" max="15141" width="7.140625" style="51" customWidth="1"/>
    <col min="15142" max="15143" width="1.42578125" style="51" customWidth="1"/>
    <col min="15144" max="15144" width="6.42578125" style="51" customWidth="1"/>
    <col min="15145" max="15146" width="8.7109375" style="51" bestFit="1" customWidth="1"/>
    <col min="15147" max="15380" width="9.140625" style="51"/>
    <col min="15381" max="15381" width="1.140625" style="51" customWidth="1"/>
    <col min="15382" max="15382" width="7.5703125" style="51" customWidth="1"/>
    <col min="15383" max="15397" width="7.140625" style="51" customWidth="1"/>
    <col min="15398" max="15399" width="1.42578125" style="51" customWidth="1"/>
    <col min="15400" max="15400" width="6.42578125" style="51" customWidth="1"/>
    <col min="15401" max="15402" width="8.7109375" style="51" bestFit="1" customWidth="1"/>
    <col min="15403" max="15636" width="9.140625" style="51"/>
    <col min="15637" max="15637" width="1.140625" style="51" customWidth="1"/>
    <col min="15638" max="15638" width="7.5703125" style="51" customWidth="1"/>
    <col min="15639" max="15653" width="7.140625" style="51" customWidth="1"/>
    <col min="15654" max="15655" width="1.42578125" style="51" customWidth="1"/>
    <col min="15656" max="15656" width="6.42578125" style="51" customWidth="1"/>
    <col min="15657" max="15658" width="8.7109375" style="51" bestFit="1" customWidth="1"/>
    <col min="15659" max="15892" width="9.140625" style="51"/>
    <col min="15893" max="15893" width="1.140625" style="51" customWidth="1"/>
    <col min="15894" max="15894" width="7.5703125" style="51" customWidth="1"/>
    <col min="15895" max="15909" width="7.140625" style="51" customWidth="1"/>
    <col min="15910" max="15911" width="1.42578125" style="51" customWidth="1"/>
    <col min="15912" max="15912" width="6.42578125" style="51" customWidth="1"/>
    <col min="15913" max="15914" width="8.7109375" style="51" bestFit="1" customWidth="1"/>
    <col min="15915" max="16148" width="9.140625" style="51"/>
    <col min="16149" max="16149" width="1.140625" style="51" customWidth="1"/>
    <col min="16150" max="16150" width="7.5703125" style="51" customWidth="1"/>
    <col min="16151" max="16165" width="7.140625" style="51" customWidth="1"/>
    <col min="16166" max="16167" width="1.42578125" style="51" customWidth="1"/>
    <col min="16168" max="16168" width="6.42578125" style="51" customWidth="1"/>
    <col min="16169" max="16170" width="8.7109375" style="51" bestFit="1" customWidth="1"/>
    <col min="16171" max="16384" width="9.140625" style="51"/>
  </cols>
  <sheetData>
    <row r="1" spans="1:50" ht="18" customHeight="1"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50" ht="33" customHeight="1">
      <c r="B2" s="462" t="s">
        <v>43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</row>
    <row r="3" spans="1:50" ht="9.75" customHeight="1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5"/>
      <c r="AE3" s="55"/>
      <c r="AF3" s="55"/>
      <c r="AG3" s="55"/>
      <c r="AH3" s="56"/>
      <c r="AI3" s="56"/>
      <c r="AJ3" s="57"/>
      <c r="AK3" s="57"/>
      <c r="AO3" s="58"/>
    </row>
    <row r="4" spans="1:50" ht="9.75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5"/>
      <c r="AE4" s="55"/>
      <c r="AF4" s="55"/>
      <c r="AG4" s="55"/>
      <c r="AH4" s="56"/>
      <c r="AI4" s="56"/>
      <c r="AJ4" s="57"/>
      <c r="AK4" s="57"/>
      <c r="AO4" s="58"/>
    </row>
    <row r="5" spans="1:50" s="121" customFormat="1" ht="18" customHeight="1">
      <c r="B5" s="463" t="s">
        <v>16</v>
      </c>
      <c r="C5" s="463"/>
      <c r="D5" s="59" t="s">
        <v>17</v>
      </c>
      <c r="E5" s="346">
        <v>45</v>
      </c>
      <c r="F5" s="346"/>
      <c r="G5" s="60" t="s">
        <v>18</v>
      </c>
      <c r="H5" s="59" t="s">
        <v>19</v>
      </c>
      <c r="I5" s="346">
        <v>6</v>
      </c>
      <c r="J5" s="346"/>
      <c r="K5" s="347" t="s">
        <v>20</v>
      </c>
      <c r="L5" s="347"/>
      <c r="Q5" s="384" t="s">
        <v>25</v>
      </c>
      <c r="R5" s="385"/>
      <c r="X5" s="124"/>
      <c r="AD5" s="125"/>
      <c r="AH5" s="25"/>
      <c r="AI5" s="61">
        <v>0.2</v>
      </c>
      <c r="AJ5" s="26"/>
      <c r="AK5" s="26"/>
      <c r="AL5" s="26"/>
      <c r="AM5" s="26"/>
    </row>
    <row r="6" spans="1:50" s="121" customFormat="1" ht="18" customHeight="1">
      <c r="B6" s="124" t="s">
        <v>23</v>
      </c>
      <c r="C6" s="124"/>
      <c r="D6" s="361">
        <v>60</v>
      </c>
      <c r="E6" s="361"/>
      <c r="F6" s="124"/>
      <c r="Q6" s="33">
        <v>0.2</v>
      </c>
      <c r="R6" s="34">
        <v>1.1000000000000001</v>
      </c>
      <c r="AH6" s="25"/>
      <c r="AI6" s="61">
        <v>0.25</v>
      </c>
      <c r="AJ6" s="28"/>
      <c r="AK6" s="28"/>
      <c r="AL6" s="28"/>
      <c r="AM6" s="28"/>
    </row>
    <row r="7" spans="1:50" s="121" customFormat="1" ht="18" customHeight="1">
      <c r="B7" s="29" t="s">
        <v>26</v>
      </c>
      <c r="D7" s="361">
        <v>16</v>
      </c>
      <c r="E7" s="361"/>
      <c r="F7" s="27"/>
      <c r="G7" s="124" t="s">
        <v>21</v>
      </c>
      <c r="H7" s="124"/>
      <c r="I7" s="62">
        <f>(E5-(3*I9))+(0.866025*I5)</f>
        <v>39.803845154586739</v>
      </c>
      <c r="J7" s="124" t="s">
        <v>22</v>
      </c>
      <c r="K7" s="124"/>
      <c r="N7" s="123"/>
      <c r="O7" s="123"/>
      <c r="P7" s="32"/>
      <c r="Q7" s="33">
        <v>0.25</v>
      </c>
      <c r="R7" s="34">
        <v>1.35</v>
      </c>
      <c r="AD7" s="125"/>
      <c r="AH7" s="25"/>
      <c r="AI7" s="61">
        <v>0.28000000000000003</v>
      </c>
      <c r="AJ7" s="28"/>
      <c r="AK7" s="28"/>
      <c r="AL7" s="28"/>
      <c r="AM7" s="28"/>
    </row>
    <row r="8" spans="1:50" ht="18" customHeight="1">
      <c r="B8" s="54"/>
      <c r="C8" s="54"/>
      <c r="D8" s="54"/>
      <c r="E8" s="54"/>
      <c r="F8" s="54"/>
      <c r="G8" s="464" t="s">
        <v>24</v>
      </c>
      <c r="H8" s="464"/>
      <c r="I8" s="122">
        <v>3.2</v>
      </c>
      <c r="J8" s="120" t="s">
        <v>22</v>
      </c>
      <c r="K8" s="120"/>
      <c r="N8" s="54"/>
      <c r="O8" s="54"/>
      <c r="P8" s="54"/>
      <c r="Q8" s="33">
        <v>0.28000000000000003</v>
      </c>
      <c r="R8" s="34">
        <v>1.65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5"/>
      <c r="AE8" s="55"/>
      <c r="AF8" s="55"/>
      <c r="AG8" s="55"/>
      <c r="AH8" s="56"/>
      <c r="AI8" s="56"/>
      <c r="AJ8" s="57"/>
      <c r="AK8" s="57"/>
      <c r="AO8" s="58"/>
    </row>
    <row r="9" spans="1:50" ht="18" customHeight="1">
      <c r="B9" s="54"/>
      <c r="C9" s="54"/>
      <c r="D9" s="54"/>
      <c r="E9" s="54"/>
      <c r="F9" s="54"/>
      <c r="G9" s="463" t="s">
        <v>27</v>
      </c>
      <c r="H9" s="463"/>
      <c r="I9" s="119">
        <f>1/(COS(([4]Data!H20/2)*PI()/180))*(I5/2)</f>
        <v>3.4641016151377544</v>
      </c>
      <c r="J9" s="120" t="s">
        <v>22</v>
      </c>
      <c r="K9" s="120"/>
      <c r="N9" s="54"/>
      <c r="O9" s="54"/>
      <c r="P9" s="54"/>
      <c r="Q9" s="33">
        <v>0.45500000000000002</v>
      </c>
      <c r="R9" s="34">
        <v>2.0499999999999998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5"/>
      <c r="AF9" s="55"/>
      <c r="AG9" s="55"/>
      <c r="AH9" s="56"/>
      <c r="AI9" s="56"/>
      <c r="AJ9" s="57"/>
      <c r="AK9" s="57"/>
      <c r="AO9" s="58"/>
    </row>
    <row r="10" spans="1:50" ht="18" customHeight="1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4">
        <v>0.53</v>
      </c>
      <c r="R10" s="34">
        <v>2.5499999999999998</v>
      </c>
      <c r="S10" s="52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7"/>
      <c r="AE10" s="57"/>
      <c r="AF10" s="57"/>
      <c r="AG10" s="57"/>
      <c r="AL10" s="57" t="s">
        <v>44</v>
      </c>
    </row>
    <row r="11" spans="1:50" ht="18" customHeight="1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7" t="s">
        <v>44</v>
      </c>
      <c r="P11" s="54"/>
      <c r="Q11" s="39">
        <v>0.62</v>
      </c>
      <c r="R11" s="34">
        <v>3.2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7"/>
      <c r="AE11" s="57"/>
      <c r="AF11" s="57"/>
      <c r="AG11" s="57"/>
      <c r="AL11" s="57"/>
    </row>
    <row r="12" spans="1:50" ht="21.75">
      <c r="B12" s="465" t="s">
        <v>45</v>
      </c>
      <c r="C12" s="467" t="s">
        <v>46</v>
      </c>
      <c r="D12" s="468"/>
      <c r="E12" s="469"/>
      <c r="F12" s="473" t="s">
        <v>47</v>
      </c>
      <c r="G12" s="474"/>
      <c r="H12" s="475" t="s">
        <v>48</v>
      </c>
      <c r="I12" s="476"/>
      <c r="J12" s="477" t="s">
        <v>49</v>
      </c>
      <c r="K12" s="478"/>
      <c r="L12" s="481" t="s">
        <v>50</v>
      </c>
      <c r="M12" s="483" t="s">
        <v>51</v>
      </c>
      <c r="N12" s="484"/>
      <c r="O12" s="485" t="s">
        <v>52</v>
      </c>
      <c r="Q12" s="39">
        <v>0.72499999999999998</v>
      </c>
      <c r="R12" s="33">
        <v>4</v>
      </c>
      <c r="AV12" s="66"/>
      <c r="AW12" s="66"/>
      <c r="AX12" s="66"/>
    </row>
    <row r="13" spans="1:50" ht="18" customHeight="1">
      <c r="B13" s="466"/>
      <c r="C13" s="470"/>
      <c r="D13" s="471"/>
      <c r="E13" s="472"/>
      <c r="F13" s="487" t="s">
        <v>53</v>
      </c>
      <c r="G13" s="488"/>
      <c r="H13" s="489" t="s">
        <v>54</v>
      </c>
      <c r="I13" s="490"/>
      <c r="J13" s="479"/>
      <c r="K13" s="480"/>
      <c r="L13" s="482"/>
      <c r="M13" s="491" t="s">
        <v>53</v>
      </c>
      <c r="N13" s="492"/>
      <c r="O13" s="486"/>
      <c r="Q13" s="34">
        <v>0.89500000000000002</v>
      </c>
      <c r="R13" s="40"/>
      <c r="AV13" s="66"/>
      <c r="AW13" s="66"/>
      <c r="AX13" s="66"/>
    </row>
    <row r="14" spans="1:50" ht="18" customHeight="1">
      <c r="B14" s="67" t="s">
        <v>55</v>
      </c>
      <c r="C14" s="495" t="s">
        <v>33</v>
      </c>
      <c r="D14" s="496"/>
      <c r="E14" s="497"/>
      <c r="F14" s="504">
        <f>[4]Data!AF26</f>
        <v>1.9999999999242846E-5</v>
      </c>
      <c r="G14" s="505"/>
      <c r="H14" s="500" t="s">
        <v>56</v>
      </c>
      <c r="I14" s="501"/>
      <c r="J14" s="500">
        <v>1</v>
      </c>
      <c r="K14" s="501"/>
      <c r="L14" s="67">
        <v>1</v>
      </c>
      <c r="M14" s="502">
        <f>F14/J14</f>
        <v>1.9999999999242846E-5</v>
      </c>
      <c r="N14" s="503"/>
      <c r="O14" s="68">
        <v>2</v>
      </c>
      <c r="AO14" s="69"/>
      <c r="AV14" s="66"/>
      <c r="AW14" s="66"/>
      <c r="AX14" s="66"/>
    </row>
    <row r="15" spans="1:50" ht="18" customHeight="1">
      <c r="B15" s="70" t="s">
        <v>57</v>
      </c>
      <c r="C15" s="495" t="s">
        <v>58</v>
      </c>
      <c r="D15" s="496"/>
      <c r="E15" s="497"/>
      <c r="F15" s="498">
        <f>'[4]Cert of STD'!AD6</f>
        <v>2E-3</v>
      </c>
      <c r="G15" s="499"/>
      <c r="H15" s="500" t="s">
        <v>56</v>
      </c>
      <c r="I15" s="501"/>
      <c r="J15" s="500">
        <v>2</v>
      </c>
      <c r="K15" s="501"/>
      <c r="L15" s="67">
        <v>1</v>
      </c>
      <c r="M15" s="502">
        <f>F15/2</f>
        <v>1E-3</v>
      </c>
      <c r="N15" s="503"/>
      <c r="O15" s="71"/>
      <c r="AO15" s="69"/>
      <c r="AV15" s="66"/>
      <c r="AW15" s="66"/>
      <c r="AX15" s="66"/>
    </row>
    <row r="16" spans="1:50" ht="18" customHeight="1">
      <c r="A16" s="66"/>
      <c r="B16" s="70" t="s">
        <v>59</v>
      </c>
      <c r="C16" s="495" t="s">
        <v>60</v>
      </c>
      <c r="D16" s="496"/>
      <c r="E16" s="497"/>
      <c r="F16" s="498">
        <f>'[4]Cert of STD'!F16</f>
        <v>2.7E-4</v>
      </c>
      <c r="G16" s="499"/>
      <c r="H16" s="500" t="s">
        <v>56</v>
      </c>
      <c r="I16" s="501"/>
      <c r="J16" s="500">
        <v>2</v>
      </c>
      <c r="K16" s="501"/>
      <c r="L16" s="67">
        <v>1</v>
      </c>
      <c r="M16" s="502">
        <f>F16/J16</f>
        <v>1.35E-4</v>
      </c>
      <c r="N16" s="503"/>
      <c r="O16" s="71"/>
      <c r="AO16" s="69"/>
      <c r="AV16" s="66"/>
      <c r="AW16" s="66"/>
      <c r="AX16" s="66"/>
    </row>
    <row r="17" spans="1:50" ht="18" customHeight="1">
      <c r="A17" s="66"/>
      <c r="B17" s="70" t="s">
        <v>61</v>
      </c>
      <c r="C17" s="495" t="s">
        <v>62</v>
      </c>
      <c r="D17" s="496"/>
      <c r="E17" s="497"/>
      <c r="F17" s="507">
        <f>(V44*1000)*2</f>
        <v>3.5167670378263941E-4</v>
      </c>
      <c r="G17" s="508"/>
      <c r="H17" s="500" t="s">
        <v>63</v>
      </c>
      <c r="I17" s="501"/>
      <c r="J17" s="509" t="s">
        <v>64</v>
      </c>
      <c r="K17" s="510"/>
      <c r="L17" s="67">
        <v>1</v>
      </c>
      <c r="M17" s="511">
        <f>F17/SQRT(3)</f>
        <v>2.0304063959662716E-4</v>
      </c>
      <c r="N17" s="512"/>
      <c r="O17" s="71"/>
      <c r="AO17" s="69"/>
      <c r="AV17" s="66"/>
      <c r="AW17" s="66"/>
      <c r="AX17" s="66"/>
    </row>
    <row r="18" spans="1:50" s="66" customFormat="1" ht="18" customHeight="1">
      <c r="B18" s="70" t="s">
        <v>65</v>
      </c>
      <c r="C18" s="495" t="s">
        <v>153</v>
      </c>
      <c r="D18" s="496"/>
      <c r="E18" s="497"/>
      <c r="F18" s="513">
        <v>1.0000000000000001E-5</v>
      </c>
      <c r="G18" s="514"/>
      <c r="H18" s="500" t="s">
        <v>63</v>
      </c>
      <c r="I18" s="501"/>
      <c r="J18" s="509" t="s">
        <v>69</v>
      </c>
      <c r="K18" s="510"/>
      <c r="L18" s="67">
        <v>1</v>
      </c>
      <c r="M18" s="502">
        <f>(F18/2)/SQRT(3)</f>
        <v>2.8867513459481293E-6</v>
      </c>
      <c r="N18" s="503"/>
      <c r="O18" s="71"/>
      <c r="AO18" s="72"/>
    </row>
    <row r="19" spans="1:50" s="66" customFormat="1" ht="18" customHeight="1">
      <c r="B19" s="70" t="s">
        <v>67</v>
      </c>
      <c r="C19" s="495" t="s">
        <v>73</v>
      </c>
      <c r="D19" s="496"/>
      <c r="E19" s="497"/>
      <c r="F19" s="498">
        <f>(COS((D6/2)*PI()/180)/(SIN((D6/2)*PI()/180))^2)*((I8/1000)-(I9/1000))</f>
        <v>-9.1487483155918423E-4</v>
      </c>
      <c r="G19" s="499"/>
      <c r="H19" s="500" t="s">
        <v>63</v>
      </c>
      <c r="I19" s="501"/>
      <c r="J19" s="509" t="s">
        <v>64</v>
      </c>
      <c r="K19" s="510"/>
      <c r="L19" s="67">
        <v>1</v>
      </c>
      <c r="M19" s="511">
        <f>F19*((2*3.14)/360)*(15/60)*(1/SQRT(3))*1000</f>
        <v>-2.3035529764793014E-3</v>
      </c>
      <c r="N19" s="512"/>
      <c r="O19" s="71"/>
      <c r="AO19" s="72"/>
      <c r="AV19" s="51"/>
      <c r="AW19" s="51"/>
      <c r="AX19" s="51"/>
    </row>
    <row r="20" spans="1:50" s="66" customFormat="1" ht="18" customHeight="1">
      <c r="B20" s="70" t="s">
        <v>70</v>
      </c>
      <c r="C20" s="495" t="s">
        <v>75</v>
      </c>
      <c r="D20" s="496"/>
      <c r="E20" s="497"/>
      <c r="F20" s="517">
        <v>2.0000000000000002E-5</v>
      </c>
      <c r="G20" s="518"/>
      <c r="H20" s="500" t="s">
        <v>63</v>
      </c>
      <c r="I20" s="501"/>
      <c r="J20" s="509" t="s">
        <v>64</v>
      </c>
      <c r="K20" s="510"/>
      <c r="L20" s="67">
        <v>1</v>
      </c>
      <c r="M20" s="519">
        <f>F20/SQRT(3)</f>
        <v>1.1547005383792517E-5</v>
      </c>
      <c r="N20" s="520"/>
      <c r="O20" s="71"/>
      <c r="AO20" s="72"/>
      <c r="AV20" s="51"/>
      <c r="AW20" s="51"/>
      <c r="AX20" s="51"/>
    </row>
    <row r="21" spans="1:50" s="66" customFormat="1" ht="18" customHeight="1">
      <c r="B21" s="70" t="s">
        <v>72</v>
      </c>
      <c r="C21" s="495" t="s">
        <v>77</v>
      </c>
      <c r="D21" s="496"/>
      <c r="E21" s="497"/>
      <c r="F21" s="498">
        <f>((I5)*(11.5*10^-6)*1)</f>
        <v>6.8999999999999997E-5</v>
      </c>
      <c r="G21" s="499"/>
      <c r="H21" s="500" t="s">
        <v>63</v>
      </c>
      <c r="I21" s="501"/>
      <c r="J21" s="509" t="s">
        <v>64</v>
      </c>
      <c r="K21" s="510"/>
      <c r="L21" s="67">
        <v>1</v>
      </c>
      <c r="M21" s="515">
        <f>F21/SQRT(3)</f>
        <v>3.9837168574084181E-5</v>
      </c>
      <c r="N21" s="516"/>
      <c r="O21" s="71"/>
      <c r="AO21" s="72"/>
      <c r="AV21" s="51"/>
      <c r="AW21" s="51"/>
      <c r="AX21" s="51"/>
    </row>
    <row r="22" spans="1:50" s="66" customFormat="1" ht="18" customHeight="1">
      <c r="B22" s="70" t="s">
        <v>78</v>
      </c>
      <c r="C22" s="495" t="s">
        <v>79</v>
      </c>
      <c r="D22" s="496"/>
      <c r="E22" s="497"/>
      <c r="F22" s="500"/>
      <c r="G22" s="501"/>
      <c r="H22" s="500" t="s">
        <v>56</v>
      </c>
      <c r="I22" s="501"/>
      <c r="J22" s="521"/>
      <c r="K22" s="522"/>
      <c r="L22" s="73"/>
      <c r="M22" s="511">
        <f>SQRT(M14^2+M15^2+M16^2+M17^2+M18^2+M19^2+M20^2+M21^2)</f>
        <v>2.5234768640590094E-3</v>
      </c>
      <c r="N22" s="512"/>
      <c r="O22" s="71">
        <f>(M22^4)/(((IF(M14&lt;=0,0.001,M14)^4)/9))</f>
        <v>2280971380.9167423</v>
      </c>
      <c r="AO22" s="72"/>
      <c r="AV22" s="51"/>
      <c r="AW22" s="51"/>
      <c r="AX22" s="51"/>
    </row>
    <row r="23" spans="1:50" s="66" customFormat="1" ht="18" customHeight="1">
      <c r="B23" s="70" t="s">
        <v>80</v>
      </c>
      <c r="C23" s="495" t="s">
        <v>81</v>
      </c>
      <c r="D23" s="496"/>
      <c r="E23" s="497"/>
      <c r="F23" s="500"/>
      <c r="G23" s="501"/>
      <c r="H23" s="500" t="s">
        <v>82</v>
      </c>
      <c r="I23" s="501"/>
      <c r="J23" s="521"/>
      <c r="K23" s="522"/>
      <c r="L23" s="73"/>
      <c r="M23" s="523">
        <f>M22*O23*1000</f>
        <v>5.0469537281180186</v>
      </c>
      <c r="N23" s="524"/>
      <c r="O23" s="74" t="str">
        <f>IF(O22&gt;0,"2.00",TINV(0.0455,O22))</f>
        <v>2.00</v>
      </c>
      <c r="Q23" s="7"/>
      <c r="R23" s="7"/>
      <c r="S23" s="7"/>
      <c r="T23" s="7"/>
      <c r="U23" s="7"/>
      <c r="V23" s="7"/>
      <c r="W23" s="7"/>
      <c r="X23" s="7"/>
      <c r="AO23" s="72"/>
      <c r="AV23" s="51"/>
      <c r="AW23" s="51"/>
      <c r="AX23" s="51"/>
    </row>
    <row r="24" spans="1:50" s="66" customFormat="1" ht="18" hidden="1" customHeight="1">
      <c r="B24" s="75">
        <v>25</v>
      </c>
      <c r="C24" s="76">
        <v>0</v>
      </c>
      <c r="D24" s="77">
        <f t="shared" ref="D24:D39" si="0">C24/1</f>
        <v>0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8">
        <f>'[4]Cert of STD'!J18</f>
        <v>1.2</v>
      </c>
      <c r="Q24" s="79">
        <f t="shared" ref="Q24:Q39" si="1">P24/2</f>
        <v>0.6</v>
      </c>
      <c r="R24" s="78">
        <f>'[4]Cert of STD'!D14</f>
        <v>0.27</v>
      </c>
      <c r="S24" s="79">
        <f t="shared" ref="S24:S39" si="2">R24/2</f>
        <v>0.13500000000000001</v>
      </c>
      <c r="T24" s="80">
        <f t="shared" ref="T24" si="3">Y52*2</f>
        <v>0</v>
      </c>
      <c r="U24" s="81">
        <f t="shared" ref="U24:U39" si="4">T24/SQRT(3)</f>
        <v>0</v>
      </c>
      <c r="V24" s="82">
        <f>(1/16)*[4]Data!E28</f>
        <v>0</v>
      </c>
      <c r="W24" s="81">
        <f t="shared" ref="W24:Y39" si="5">(V24/SQRT(3))</f>
        <v>0</v>
      </c>
      <c r="X24" s="76" t="e">
        <f>#REF!</f>
        <v>#REF!</v>
      </c>
      <c r="Y24" s="81" t="e">
        <f t="shared" si="5"/>
        <v>#REF!</v>
      </c>
      <c r="Z24" s="81">
        <v>1</v>
      </c>
      <c r="AA24" s="83">
        <f t="shared" ref="AA24:AA39" si="6">Z24/SQRT(3)</f>
        <v>0.57735026918962584</v>
      </c>
      <c r="AB24" s="77" t="e">
        <f>#REF!</f>
        <v>#REF!</v>
      </c>
      <c r="AC24" s="84" t="e">
        <f t="shared" ref="AC24:AC39" si="7">AB24*((2*3.14)/360)*(15/60)*(1/SQRT(3))*10^6</f>
        <v>#REF!</v>
      </c>
      <c r="AD24" s="83" t="e">
        <f>#REF!</f>
        <v>#REF!</v>
      </c>
      <c r="AE24" s="83" t="e">
        <f t="shared" ref="AE24:AE39" si="8">AD24/SQRT(3)</f>
        <v>#REF!</v>
      </c>
      <c r="AF24" s="85">
        <f>((0.7)*(11.5*10^-6)*1)</f>
        <v>8.0499999999999992E-6</v>
      </c>
      <c r="AG24" s="77">
        <f t="shared" ref="AG24:AG39" si="9">AF24/SQRT(3)</f>
        <v>4.647669666976487E-6</v>
      </c>
      <c r="AH24" s="77" t="e">
        <f t="shared" ref="AH24:AH39" si="10">SQRT(D24^2+Q24^2+S24^2+U24^2+W24^2+Y24^2+AA24^2+AC24^2+AE24^2+AG24^2)</f>
        <v>#REF!</v>
      </c>
      <c r="AI24" s="86">
        <f t="shared" ref="AI24:AI39" si="11">D24/1</f>
        <v>0</v>
      </c>
      <c r="AJ24" s="71" t="e">
        <f t="shared" ref="AJ24:AJ39" si="12">(AH24^4)/(((IF(AI24&lt;=0,0.001,AI24)^4)/9))</f>
        <v>#REF!</v>
      </c>
      <c r="AK24" s="74" t="e">
        <f t="shared" ref="AK24:AK39" si="13">IF(AJ24&gt;0,"2.00",TINV(0.0455,AJ24))</f>
        <v>#REF!</v>
      </c>
      <c r="AL24" s="87" t="e">
        <f t="shared" ref="AL24:AL39" si="14">AH24*2</f>
        <v>#REF!</v>
      </c>
      <c r="AO24" s="72"/>
      <c r="AV24" s="51"/>
      <c r="AW24" s="51"/>
      <c r="AX24" s="51"/>
    </row>
    <row r="25" spans="1:50" s="66" customFormat="1" ht="18" hidden="1" customHeight="1">
      <c r="B25" s="75">
        <v>30</v>
      </c>
      <c r="C25" s="76">
        <v>0</v>
      </c>
      <c r="D25" s="77">
        <f t="shared" si="0"/>
        <v>0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>
        <f>'[4]Cert of STD'!J20</f>
        <v>1.4</v>
      </c>
      <c r="Q25" s="79">
        <f t="shared" si="1"/>
        <v>0.7</v>
      </c>
      <c r="R25" s="78">
        <f>'[4]Cert of STD'!D14</f>
        <v>0.27</v>
      </c>
      <c r="S25" s="79">
        <f t="shared" si="2"/>
        <v>0.13500000000000001</v>
      </c>
      <c r="T25" s="80" t="e">
        <f>#REF!*2</f>
        <v>#REF!</v>
      </c>
      <c r="U25" s="81" t="e">
        <f t="shared" si="4"/>
        <v>#REF!</v>
      </c>
      <c r="V25" s="82">
        <f>(1/16)*[4]Data!E29</f>
        <v>0</v>
      </c>
      <c r="W25" s="81">
        <f t="shared" si="5"/>
        <v>0</v>
      </c>
      <c r="X25" s="76" t="e">
        <f t="shared" ref="X25:X29" si="15">X24</f>
        <v>#REF!</v>
      </c>
      <c r="Y25" s="81" t="e">
        <f t="shared" si="5"/>
        <v>#REF!</v>
      </c>
      <c r="Z25" s="81">
        <v>1</v>
      </c>
      <c r="AA25" s="83">
        <f t="shared" si="6"/>
        <v>0.57735026918962584</v>
      </c>
      <c r="AB25" s="77" t="e">
        <f t="shared" ref="AB25:AB29" si="16">AB24</f>
        <v>#REF!</v>
      </c>
      <c r="AC25" s="84" t="e">
        <f t="shared" si="7"/>
        <v>#REF!</v>
      </c>
      <c r="AD25" s="83" t="e">
        <f t="shared" ref="AD25:AD28" si="17">AD24</f>
        <v>#REF!</v>
      </c>
      <c r="AE25" s="83" t="e">
        <f t="shared" si="8"/>
        <v>#REF!</v>
      </c>
      <c r="AF25" s="85">
        <f>((0.75)*(11.5*10^-6)*1)</f>
        <v>8.6249999999999996E-6</v>
      </c>
      <c r="AG25" s="77">
        <f t="shared" si="9"/>
        <v>4.9796460717605226E-6</v>
      </c>
      <c r="AH25" s="77" t="e">
        <f t="shared" si="10"/>
        <v>#REF!</v>
      </c>
      <c r="AI25" s="86">
        <f t="shared" si="11"/>
        <v>0</v>
      </c>
      <c r="AJ25" s="71" t="e">
        <f t="shared" si="12"/>
        <v>#REF!</v>
      </c>
      <c r="AK25" s="74" t="e">
        <f t="shared" si="13"/>
        <v>#REF!</v>
      </c>
      <c r="AL25" s="87" t="e">
        <f t="shared" si="14"/>
        <v>#REF!</v>
      </c>
      <c r="AO25" s="72"/>
      <c r="AV25" s="51"/>
      <c r="AW25" s="51"/>
      <c r="AX25" s="51"/>
    </row>
    <row r="26" spans="1:50" s="66" customFormat="1" ht="18" hidden="1" customHeight="1">
      <c r="B26" s="75">
        <v>75</v>
      </c>
      <c r="C26" s="76">
        <v>0</v>
      </c>
      <c r="D26" s="77">
        <f t="shared" si="0"/>
        <v>0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>
        <f>'[4]Cert of STD'!J21</f>
        <v>2.8</v>
      </c>
      <c r="Q26" s="79">
        <f t="shared" si="1"/>
        <v>1.4</v>
      </c>
      <c r="R26" s="78">
        <f>'[4]Cert of STD'!D19</f>
        <v>0.39</v>
      </c>
      <c r="S26" s="79">
        <f t="shared" si="2"/>
        <v>0.19500000000000001</v>
      </c>
      <c r="T26" s="80" t="e">
        <f>#REF!*2</f>
        <v>#REF!</v>
      </c>
      <c r="U26" s="81" t="e">
        <f t="shared" si="4"/>
        <v>#REF!</v>
      </c>
      <c r="V26" s="82">
        <f>(1/16)*[4]Data!E30</f>
        <v>0</v>
      </c>
      <c r="W26" s="81">
        <f t="shared" si="5"/>
        <v>0</v>
      </c>
      <c r="X26" s="76" t="e">
        <f t="shared" si="15"/>
        <v>#REF!</v>
      </c>
      <c r="Y26" s="81" t="e">
        <f t="shared" si="5"/>
        <v>#REF!</v>
      </c>
      <c r="Z26" s="81">
        <v>1</v>
      </c>
      <c r="AA26" s="83">
        <f t="shared" si="6"/>
        <v>0.57735026918962584</v>
      </c>
      <c r="AB26" s="77" t="e">
        <f t="shared" si="16"/>
        <v>#REF!</v>
      </c>
      <c r="AC26" s="84" t="e">
        <f t="shared" si="7"/>
        <v>#REF!</v>
      </c>
      <c r="AD26" s="83" t="e">
        <f t="shared" si="17"/>
        <v>#REF!</v>
      </c>
      <c r="AE26" s="83" t="e">
        <f t="shared" si="8"/>
        <v>#REF!</v>
      </c>
      <c r="AF26" s="85">
        <f>((0.8)*(11.5*10^-6)*1)</f>
        <v>9.2E-6</v>
      </c>
      <c r="AG26" s="77">
        <f t="shared" si="9"/>
        <v>5.3116224765445574E-6</v>
      </c>
      <c r="AH26" s="77" t="e">
        <f t="shared" si="10"/>
        <v>#REF!</v>
      </c>
      <c r="AI26" s="86">
        <f t="shared" si="11"/>
        <v>0</v>
      </c>
      <c r="AJ26" s="71" t="e">
        <f t="shared" si="12"/>
        <v>#REF!</v>
      </c>
      <c r="AK26" s="74" t="e">
        <f t="shared" si="13"/>
        <v>#REF!</v>
      </c>
      <c r="AL26" s="87" t="e">
        <f t="shared" si="14"/>
        <v>#REF!</v>
      </c>
      <c r="AO26" s="72"/>
      <c r="AV26" s="51"/>
      <c r="AW26" s="51"/>
      <c r="AX26" s="51"/>
    </row>
    <row r="27" spans="1:50" s="66" customFormat="1" ht="18" hidden="1" customHeight="1">
      <c r="B27" s="75">
        <v>90</v>
      </c>
      <c r="C27" s="76">
        <v>0</v>
      </c>
      <c r="D27" s="77">
        <f t="shared" si="0"/>
        <v>0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8">
        <f t="shared" ref="P27:P29" si="18">P26</f>
        <v>2.8</v>
      </c>
      <c r="Q27" s="79">
        <f t="shared" si="1"/>
        <v>1.4</v>
      </c>
      <c r="R27" s="78">
        <f>'[4]Cert of STD'!D20</f>
        <v>0.39</v>
      </c>
      <c r="S27" s="79">
        <f t="shared" si="2"/>
        <v>0.19500000000000001</v>
      </c>
      <c r="T27" s="80" t="e">
        <f>#REF!*2</f>
        <v>#REF!</v>
      </c>
      <c r="U27" s="81" t="e">
        <f t="shared" si="4"/>
        <v>#REF!</v>
      </c>
      <c r="V27" s="82">
        <f>(1/16)*[4]Data!E31</f>
        <v>0</v>
      </c>
      <c r="W27" s="81">
        <f t="shared" si="5"/>
        <v>0</v>
      </c>
      <c r="X27" s="76" t="e">
        <f t="shared" si="15"/>
        <v>#REF!</v>
      </c>
      <c r="Y27" s="81" t="e">
        <f t="shared" si="5"/>
        <v>#REF!</v>
      </c>
      <c r="Z27" s="81">
        <v>1</v>
      </c>
      <c r="AA27" s="83">
        <f t="shared" si="6"/>
        <v>0.57735026918962584</v>
      </c>
      <c r="AB27" s="77" t="e">
        <f t="shared" si="16"/>
        <v>#REF!</v>
      </c>
      <c r="AC27" s="84" t="e">
        <f t="shared" si="7"/>
        <v>#REF!</v>
      </c>
      <c r="AD27" s="83" t="e">
        <f t="shared" si="17"/>
        <v>#REF!</v>
      </c>
      <c r="AE27" s="83" t="e">
        <f t="shared" si="8"/>
        <v>#REF!</v>
      </c>
      <c r="AF27" s="85">
        <f>((1)*(11.5*10^-6)*1)</f>
        <v>1.15E-5</v>
      </c>
      <c r="AG27" s="77">
        <f t="shared" si="9"/>
        <v>6.6395280956806965E-6</v>
      </c>
      <c r="AH27" s="77" t="e">
        <f t="shared" si="10"/>
        <v>#REF!</v>
      </c>
      <c r="AI27" s="86">
        <f t="shared" si="11"/>
        <v>0</v>
      </c>
      <c r="AJ27" s="71" t="e">
        <f t="shared" si="12"/>
        <v>#REF!</v>
      </c>
      <c r="AK27" s="74" t="e">
        <f t="shared" si="13"/>
        <v>#REF!</v>
      </c>
      <c r="AL27" s="87" t="e">
        <f t="shared" si="14"/>
        <v>#REF!</v>
      </c>
      <c r="AV27" s="51"/>
      <c r="AW27" s="51"/>
      <c r="AX27" s="51"/>
    </row>
    <row r="28" spans="1:50" s="66" customFormat="1" ht="18" hidden="1" customHeight="1">
      <c r="B28" s="75">
        <v>100</v>
      </c>
      <c r="C28" s="76">
        <v>0</v>
      </c>
      <c r="D28" s="77">
        <f t="shared" si="0"/>
        <v>0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8">
        <f t="shared" si="18"/>
        <v>2.8</v>
      </c>
      <c r="Q28" s="79">
        <f t="shared" si="1"/>
        <v>1.4</v>
      </c>
      <c r="R28" s="78">
        <f>'[4]Cert of STD'!D21</f>
        <v>0.39</v>
      </c>
      <c r="S28" s="79">
        <f t="shared" si="2"/>
        <v>0.19500000000000001</v>
      </c>
      <c r="T28" s="80" t="e">
        <f>#REF!*2</f>
        <v>#REF!</v>
      </c>
      <c r="U28" s="81" t="e">
        <f t="shared" si="4"/>
        <v>#REF!</v>
      </c>
      <c r="V28" s="82">
        <f>(1/16)*[4]Data!E32</f>
        <v>0</v>
      </c>
      <c r="W28" s="81">
        <f t="shared" si="5"/>
        <v>0</v>
      </c>
      <c r="X28" s="76" t="e">
        <f t="shared" si="15"/>
        <v>#REF!</v>
      </c>
      <c r="Y28" s="81" t="e">
        <f t="shared" si="5"/>
        <v>#REF!</v>
      </c>
      <c r="Z28" s="81">
        <v>1</v>
      </c>
      <c r="AA28" s="83">
        <f t="shared" si="6"/>
        <v>0.57735026918962584</v>
      </c>
      <c r="AB28" s="77" t="e">
        <f t="shared" si="16"/>
        <v>#REF!</v>
      </c>
      <c r="AC28" s="84" t="e">
        <f t="shared" si="7"/>
        <v>#REF!</v>
      </c>
      <c r="AD28" s="83" t="e">
        <f t="shared" si="17"/>
        <v>#REF!</v>
      </c>
      <c r="AE28" s="83" t="e">
        <f t="shared" si="8"/>
        <v>#REF!</v>
      </c>
      <c r="AF28" s="85">
        <f>((1.25)*(11.5*10^-6)*1)</f>
        <v>1.4375E-5</v>
      </c>
      <c r="AG28" s="77">
        <f t="shared" si="9"/>
        <v>8.2994101196008704E-6</v>
      </c>
      <c r="AH28" s="77" t="e">
        <f t="shared" si="10"/>
        <v>#REF!</v>
      </c>
      <c r="AI28" s="86">
        <f t="shared" si="11"/>
        <v>0</v>
      </c>
      <c r="AJ28" s="71" t="e">
        <f t="shared" si="12"/>
        <v>#REF!</v>
      </c>
      <c r="AK28" s="74" t="e">
        <f t="shared" si="13"/>
        <v>#REF!</v>
      </c>
      <c r="AL28" s="87" t="e">
        <f t="shared" si="14"/>
        <v>#REF!</v>
      </c>
      <c r="AV28" s="51"/>
      <c r="AW28" s="51"/>
      <c r="AX28" s="51"/>
    </row>
    <row r="29" spans="1:50" s="66" customFormat="1" ht="18" hidden="1" customHeight="1">
      <c r="A29" s="51"/>
      <c r="B29" s="75">
        <v>125</v>
      </c>
      <c r="C29" s="76">
        <v>0</v>
      </c>
      <c r="D29" s="77">
        <f t="shared" si="0"/>
        <v>0</v>
      </c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8">
        <f t="shared" si="18"/>
        <v>2.8</v>
      </c>
      <c r="Q29" s="79">
        <f t="shared" si="1"/>
        <v>1.4</v>
      </c>
      <c r="R29" s="78">
        <f>'[4]Cert of STD'!D21</f>
        <v>0.39</v>
      </c>
      <c r="S29" s="79">
        <f t="shared" si="2"/>
        <v>0.19500000000000001</v>
      </c>
      <c r="T29" s="80" t="e">
        <f>#REF!*2</f>
        <v>#REF!</v>
      </c>
      <c r="U29" s="81" t="e">
        <f t="shared" si="4"/>
        <v>#REF!</v>
      </c>
      <c r="V29" s="82">
        <f>(1/16)*[4]Data!E33</f>
        <v>0</v>
      </c>
      <c r="W29" s="81">
        <f t="shared" si="5"/>
        <v>0</v>
      </c>
      <c r="X29" s="76" t="e">
        <f t="shared" si="15"/>
        <v>#REF!</v>
      </c>
      <c r="Y29" s="81" t="e">
        <f t="shared" si="5"/>
        <v>#REF!</v>
      </c>
      <c r="Z29" s="81">
        <v>1</v>
      </c>
      <c r="AA29" s="83">
        <f t="shared" si="6"/>
        <v>0.57735026918962584</v>
      </c>
      <c r="AB29" s="77" t="e">
        <f t="shared" si="16"/>
        <v>#REF!</v>
      </c>
      <c r="AC29" s="84" t="e">
        <f t="shared" si="7"/>
        <v>#REF!</v>
      </c>
      <c r="AD29" s="83" t="e">
        <f>AD28</f>
        <v>#REF!</v>
      </c>
      <c r="AE29" s="83" t="e">
        <f t="shared" si="8"/>
        <v>#REF!</v>
      </c>
      <c r="AF29" s="85">
        <f>(([4]Data!L31)*(11.5*10^-6)*1)</f>
        <v>1.15011845E-4</v>
      </c>
      <c r="AG29" s="77">
        <f t="shared" si="9"/>
        <v>6.6402119670745514E-5</v>
      </c>
      <c r="AH29" s="77" t="e">
        <f t="shared" si="10"/>
        <v>#REF!</v>
      </c>
      <c r="AI29" s="86">
        <f t="shared" si="11"/>
        <v>0</v>
      </c>
      <c r="AJ29" s="71" t="e">
        <f t="shared" si="12"/>
        <v>#REF!</v>
      </c>
      <c r="AK29" s="74" t="e">
        <f t="shared" si="13"/>
        <v>#REF!</v>
      </c>
      <c r="AL29" s="87" t="e">
        <f t="shared" si="14"/>
        <v>#REF!</v>
      </c>
      <c r="AV29" s="51"/>
      <c r="AW29" s="51"/>
      <c r="AX29" s="51"/>
    </row>
    <row r="30" spans="1:50" s="66" customFormat="1" ht="18" hidden="1" customHeight="1">
      <c r="A30" s="51"/>
      <c r="B30" s="75">
        <v>150</v>
      </c>
      <c r="C30" s="76">
        <v>0</v>
      </c>
      <c r="D30" s="77">
        <f t="shared" si="0"/>
        <v>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>
        <f>P29</f>
        <v>2.8</v>
      </c>
      <c r="Q30" s="79">
        <f t="shared" si="1"/>
        <v>1.4</v>
      </c>
      <c r="R30" s="78">
        <f>'[4]Cert of STD'!D21</f>
        <v>0.39</v>
      </c>
      <c r="S30" s="79">
        <f t="shared" si="2"/>
        <v>0.19500000000000001</v>
      </c>
      <c r="T30" s="80" t="e">
        <f>#REF!*2</f>
        <v>#REF!</v>
      </c>
      <c r="U30" s="81" t="e">
        <f t="shared" si="4"/>
        <v>#REF!</v>
      </c>
      <c r="V30" s="82">
        <f>(1/16)*[4]Data!E34</f>
        <v>0</v>
      </c>
      <c r="W30" s="81">
        <f t="shared" si="5"/>
        <v>0</v>
      </c>
      <c r="X30" s="76" t="e">
        <f>X29</f>
        <v>#REF!</v>
      </c>
      <c r="Y30" s="81" t="e">
        <f t="shared" si="5"/>
        <v>#REF!</v>
      </c>
      <c r="Z30" s="81">
        <v>1</v>
      </c>
      <c r="AA30" s="83">
        <f t="shared" si="6"/>
        <v>0.57735026918962584</v>
      </c>
      <c r="AB30" s="77" t="e">
        <f>AB29</f>
        <v>#REF!</v>
      </c>
      <c r="AC30" s="84" t="e">
        <f t="shared" si="7"/>
        <v>#REF!</v>
      </c>
      <c r="AD30" s="83" t="e">
        <f>AD29</f>
        <v>#REF!</v>
      </c>
      <c r="AE30" s="83" t="e">
        <f t="shared" si="8"/>
        <v>#REF!</v>
      </c>
      <c r="AF30" s="85">
        <f>(([4]Data!L32)*(11.5*10^-6)*1)</f>
        <v>0</v>
      </c>
      <c r="AG30" s="77">
        <f t="shared" si="9"/>
        <v>0</v>
      </c>
      <c r="AH30" s="77" t="e">
        <f t="shared" si="10"/>
        <v>#REF!</v>
      </c>
      <c r="AI30" s="86">
        <f t="shared" si="11"/>
        <v>0</v>
      </c>
      <c r="AJ30" s="71" t="e">
        <f t="shared" si="12"/>
        <v>#REF!</v>
      </c>
      <c r="AK30" s="74" t="e">
        <f t="shared" si="13"/>
        <v>#REF!</v>
      </c>
      <c r="AL30" s="87" t="e">
        <f t="shared" si="14"/>
        <v>#REF!</v>
      </c>
      <c r="AV30" s="51"/>
      <c r="AW30" s="51"/>
      <c r="AX30" s="51"/>
    </row>
    <row r="31" spans="1:50" s="66" customFormat="1" ht="18" hidden="1" customHeight="1">
      <c r="A31" s="51"/>
      <c r="B31" s="75">
        <v>150</v>
      </c>
      <c r="C31" s="76">
        <v>0</v>
      </c>
      <c r="D31" s="77">
        <f t="shared" si="0"/>
        <v>0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>
        <f t="shared" ref="P31:P35" si="19">P30</f>
        <v>2.8</v>
      </c>
      <c r="Q31" s="79">
        <f t="shared" si="1"/>
        <v>1.4</v>
      </c>
      <c r="R31" s="78">
        <f>'[4]Cert of STD'!D22</f>
        <v>0</v>
      </c>
      <c r="S31" s="79">
        <f t="shared" si="2"/>
        <v>0</v>
      </c>
      <c r="T31" s="80" t="e">
        <f>#REF!*2</f>
        <v>#REF!</v>
      </c>
      <c r="U31" s="81" t="e">
        <f t="shared" si="4"/>
        <v>#REF!</v>
      </c>
      <c r="V31" s="82">
        <f>(1/16)*[4]Data!E35</f>
        <v>0</v>
      </c>
      <c r="W31" s="81">
        <f t="shared" si="5"/>
        <v>0</v>
      </c>
      <c r="X31" s="76" t="e">
        <f t="shared" ref="X31:X35" si="20">X30</f>
        <v>#REF!</v>
      </c>
      <c r="Y31" s="81" t="e">
        <f t="shared" si="5"/>
        <v>#REF!</v>
      </c>
      <c r="Z31" s="81">
        <v>1</v>
      </c>
      <c r="AA31" s="83">
        <f t="shared" si="6"/>
        <v>0.57735026918962584</v>
      </c>
      <c r="AB31" s="77" t="e">
        <f t="shared" ref="AB31:AB35" si="21">AB30</f>
        <v>#REF!</v>
      </c>
      <c r="AC31" s="84" t="e">
        <f t="shared" si="7"/>
        <v>#REF!</v>
      </c>
      <c r="AD31" s="83" t="e">
        <f t="shared" ref="AD31:AD35" si="22">AD30</f>
        <v>#REF!</v>
      </c>
      <c r="AE31" s="83" t="e">
        <f t="shared" si="8"/>
        <v>#REF!</v>
      </c>
      <c r="AF31" s="85">
        <f>(([4]Data!L33)*(11.5*10^-6)*1)</f>
        <v>2.8750000000000001E-5</v>
      </c>
      <c r="AG31" s="77">
        <f t="shared" si="9"/>
        <v>1.6598820239201741E-5</v>
      </c>
      <c r="AH31" s="77" t="e">
        <f t="shared" si="10"/>
        <v>#REF!</v>
      </c>
      <c r="AI31" s="86">
        <f t="shared" si="11"/>
        <v>0</v>
      </c>
      <c r="AJ31" s="71" t="e">
        <f t="shared" si="12"/>
        <v>#REF!</v>
      </c>
      <c r="AK31" s="74" t="e">
        <f t="shared" si="13"/>
        <v>#REF!</v>
      </c>
      <c r="AL31" s="87" t="e">
        <f t="shared" si="14"/>
        <v>#REF!</v>
      </c>
      <c r="AM31" s="88"/>
      <c r="AN31" s="89"/>
      <c r="AV31" s="51"/>
      <c r="AW31" s="51"/>
      <c r="AX31" s="51"/>
    </row>
    <row r="32" spans="1:50" s="66" customFormat="1" ht="18" hidden="1" customHeight="1">
      <c r="A32" s="51"/>
      <c r="B32" s="75">
        <v>150</v>
      </c>
      <c r="C32" s="76">
        <v>0</v>
      </c>
      <c r="D32" s="77">
        <f t="shared" si="0"/>
        <v>0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8">
        <f t="shared" si="19"/>
        <v>2.8</v>
      </c>
      <c r="Q32" s="79">
        <f t="shared" si="1"/>
        <v>1.4</v>
      </c>
      <c r="R32" s="78">
        <f>'[4]Cert of STD'!D23</f>
        <v>0</v>
      </c>
      <c r="S32" s="79">
        <f t="shared" si="2"/>
        <v>0</v>
      </c>
      <c r="T32" s="80" t="e">
        <f>#REF!*2</f>
        <v>#REF!</v>
      </c>
      <c r="U32" s="81" t="e">
        <f t="shared" si="4"/>
        <v>#REF!</v>
      </c>
      <c r="V32" s="82">
        <f>(1/16)*[4]Data!E36</f>
        <v>0</v>
      </c>
      <c r="W32" s="81">
        <f t="shared" si="5"/>
        <v>0</v>
      </c>
      <c r="X32" s="76" t="e">
        <f t="shared" si="20"/>
        <v>#REF!</v>
      </c>
      <c r="Y32" s="81" t="e">
        <f t="shared" si="5"/>
        <v>#REF!</v>
      </c>
      <c r="Z32" s="81">
        <v>1</v>
      </c>
      <c r="AA32" s="83">
        <f t="shared" si="6"/>
        <v>0.57735026918962584</v>
      </c>
      <c r="AB32" s="77" t="e">
        <f t="shared" si="21"/>
        <v>#REF!</v>
      </c>
      <c r="AC32" s="84" t="e">
        <f t="shared" si="7"/>
        <v>#REF!</v>
      </c>
      <c r="AD32" s="83" t="e">
        <f t="shared" si="22"/>
        <v>#REF!</v>
      </c>
      <c r="AE32" s="83" t="e">
        <f t="shared" si="8"/>
        <v>#REF!</v>
      </c>
      <c r="AF32" s="85">
        <f>(([4]Data!L34)*(11.5*10^-6)*1)</f>
        <v>0</v>
      </c>
      <c r="AG32" s="77">
        <f t="shared" si="9"/>
        <v>0</v>
      </c>
      <c r="AH32" s="77" t="e">
        <f t="shared" si="10"/>
        <v>#REF!</v>
      </c>
      <c r="AI32" s="86">
        <f t="shared" si="11"/>
        <v>0</v>
      </c>
      <c r="AJ32" s="71" t="e">
        <f t="shared" si="12"/>
        <v>#REF!</v>
      </c>
      <c r="AK32" s="74" t="e">
        <f t="shared" si="13"/>
        <v>#REF!</v>
      </c>
      <c r="AL32" s="87" t="e">
        <f t="shared" si="14"/>
        <v>#REF!</v>
      </c>
      <c r="AM32" s="7"/>
      <c r="AN32" s="7"/>
      <c r="AV32" s="51"/>
      <c r="AW32" s="51"/>
      <c r="AX32" s="51"/>
    </row>
    <row r="33" spans="2:40" s="13" customFormat="1" ht="18" hidden="1" customHeight="1">
      <c r="B33" s="75">
        <v>150</v>
      </c>
      <c r="C33" s="76">
        <v>0</v>
      </c>
      <c r="D33" s="77">
        <f t="shared" si="0"/>
        <v>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8">
        <f t="shared" si="19"/>
        <v>2.8</v>
      </c>
      <c r="Q33" s="79">
        <f t="shared" si="1"/>
        <v>1.4</v>
      </c>
      <c r="R33" s="78">
        <f>'[4]Cert of STD'!D24</f>
        <v>0</v>
      </c>
      <c r="S33" s="79">
        <f t="shared" si="2"/>
        <v>0</v>
      </c>
      <c r="T33" s="80" t="e">
        <f>#REF!*2</f>
        <v>#REF!</v>
      </c>
      <c r="U33" s="81" t="e">
        <f t="shared" si="4"/>
        <v>#REF!</v>
      </c>
      <c r="V33" s="82">
        <f>(1/16)*[4]Data!E37</f>
        <v>0</v>
      </c>
      <c r="W33" s="81">
        <f t="shared" si="5"/>
        <v>0</v>
      </c>
      <c r="X33" s="76" t="e">
        <f t="shared" si="20"/>
        <v>#REF!</v>
      </c>
      <c r="Y33" s="81" t="e">
        <f t="shared" si="5"/>
        <v>#REF!</v>
      </c>
      <c r="Z33" s="81">
        <v>1</v>
      </c>
      <c r="AA33" s="83">
        <f t="shared" si="6"/>
        <v>0.57735026918962584</v>
      </c>
      <c r="AB33" s="77" t="e">
        <f t="shared" si="21"/>
        <v>#REF!</v>
      </c>
      <c r="AC33" s="84" t="e">
        <f t="shared" si="7"/>
        <v>#REF!</v>
      </c>
      <c r="AD33" s="83" t="e">
        <f t="shared" si="22"/>
        <v>#REF!</v>
      </c>
      <c r="AE33" s="83" t="e">
        <f t="shared" si="8"/>
        <v>#REF!</v>
      </c>
      <c r="AF33" s="85">
        <f>(([4]Data!L35)*(11.5*10^-6)*1)</f>
        <v>0</v>
      </c>
      <c r="AG33" s="77">
        <f t="shared" si="9"/>
        <v>0</v>
      </c>
      <c r="AH33" s="77" t="e">
        <f t="shared" si="10"/>
        <v>#REF!</v>
      </c>
      <c r="AI33" s="86">
        <f t="shared" si="11"/>
        <v>0</v>
      </c>
      <c r="AJ33" s="71" t="e">
        <f t="shared" si="12"/>
        <v>#REF!</v>
      </c>
      <c r="AK33" s="74" t="e">
        <f t="shared" si="13"/>
        <v>#REF!</v>
      </c>
      <c r="AL33" s="87" t="e">
        <f t="shared" si="14"/>
        <v>#REF!</v>
      </c>
      <c r="AM33" s="7"/>
      <c r="AN33" s="7"/>
    </row>
    <row r="34" spans="2:40" s="13" customFormat="1" ht="18" hidden="1" customHeight="1">
      <c r="B34" s="75">
        <v>150</v>
      </c>
      <c r="C34" s="76">
        <v>0</v>
      </c>
      <c r="D34" s="77">
        <f t="shared" si="0"/>
        <v>0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8">
        <f t="shared" si="19"/>
        <v>2.8</v>
      </c>
      <c r="Q34" s="79">
        <f t="shared" si="1"/>
        <v>1.4</v>
      </c>
      <c r="R34" s="78">
        <f>'[4]Cert of STD'!D25</f>
        <v>0</v>
      </c>
      <c r="S34" s="79">
        <f t="shared" si="2"/>
        <v>0</v>
      </c>
      <c r="T34" s="80" t="e">
        <f>#REF!*2</f>
        <v>#REF!</v>
      </c>
      <c r="U34" s="81" t="e">
        <f t="shared" si="4"/>
        <v>#REF!</v>
      </c>
      <c r="V34" s="82">
        <f>(1/16)*[4]Data!E38</f>
        <v>0</v>
      </c>
      <c r="W34" s="81">
        <f t="shared" si="5"/>
        <v>0</v>
      </c>
      <c r="X34" s="76" t="e">
        <f t="shared" si="20"/>
        <v>#REF!</v>
      </c>
      <c r="Y34" s="81" t="e">
        <f t="shared" si="5"/>
        <v>#REF!</v>
      </c>
      <c r="Z34" s="81">
        <v>1</v>
      </c>
      <c r="AA34" s="83">
        <f t="shared" si="6"/>
        <v>0.57735026918962584</v>
      </c>
      <c r="AB34" s="77" t="e">
        <f t="shared" si="21"/>
        <v>#REF!</v>
      </c>
      <c r="AC34" s="84" t="e">
        <f t="shared" si="7"/>
        <v>#REF!</v>
      </c>
      <c r="AD34" s="83" t="e">
        <f t="shared" si="22"/>
        <v>#REF!</v>
      </c>
      <c r="AE34" s="83" t="e">
        <f t="shared" si="8"/>
        <v>#REF!</v>
      </c>
      <c r="AF34" s="85">
        <f>(([4]Data!L36)*(11.5*10^-6)*1)</f>
        <v>0</v>
      </c>
      <c r="AG34" s="77">
        <f t="shared" si="9"/>
        <v>0</v>
      </c>
      <c r="AH34" s="77" t="e">
        <f t="shared" si="10"/>
        <v>#REF!</v>
      </c>
      <c r="AI34" s="86">
        <f t="shared" si="11"/>
        <v>0</v>
      </c>
      <c r="AJ34" s="71" t="e">
        <f t="shared" si="12"/>
        <v>#REF!</v>
      </c>
      <c r="AK34" s="74" t="e">
        <f t="shared" si="13"/>
        <v>#REF!</v>
      </c>
      <c r="AL34" s="87" t="e">
        <f t="shared" si="14"/>
        <v>#REF!</v>
      </c>
      <c r="AM34" s="7"/>
      <c r="AN34" s="7"/>
    </row>
    <row r="35" spans="2:40" s="13" customFormat="1" ht="18" hidden="1" customHeight="1">
      <c r="B35" s="75">
        <v>150</v>
      </c>
      <c r="C35" s="76">
        <v>0</v>
      </c>
      <c r="D35" s="77">
        <f t="shared" si="0"/>
        <v>0</v>
      </c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8">
        <f t="shared" si="19"/>
        <v>2.8</v>
      </c>
      <c r="Q35" s="79">
        <f t="shared" si="1"/>
        <v>1.4</v>
      </c>
      <c r="R35" s="78">
        <f>'[4]Cert of STD'!D26</f>
        <v>0</v>
      </c>
      <c r="S35" s="79">
        <f t="shared" si="2"/>
        <v>0</v>
      </c>
      <c r="T35" s="80" t="e">
        <f>#REF!*2</f>
        <v>#REF!</v>
      </c>
      <c r="U35" s="81" t="e">
        <f t="shared" si="4"/>
        <v>#REF!</v>
      </c>
      <c r="V35" s="82">
        <f>(1/16)*[4]Data!E39</f>
        <v>0</v>
      </c>
      <c r="W35" s="81">
        <f t="shared" si="5"/>
        <v>0</v>
      </c>
      <c r="X35" s="76" t="e">
        <f t="shared" si="20"/>
        <v>#REF!</v>
      </c>
      <c r="Y35" s="81" t="e">
        <f t="shared" si="5"/>
        <v>#REF!</v>
      </c>
      <c r="Z35" s="81">
        <v>1</v>
      </c>
      <c r="AA35" s="83">
        <f t="shared" si="6"/>
        <v>0.57735026918962584</v>
      </c>
      <c r="AB35" s="77" t="e">
        <f t="shared" si="21"/>
        <v>#REF!</v>
      </c>
      <c r="AC35" s="84" t="e">
        <f t="shared" si="7"/>
        <v>#REF!</v>
      </c>
      <c r="AD35" s="83" t="e">
        <f t="shared" si="22"/>
        <v>#REF!</v>
      </c>
      <c r="AE35" s="83" t="e">
        <f t="shared" si="8"/>
        <v>#REF!</v>
      </c>
      <c r="AF35" s="85">
        <f>(([4]Data!L37)*(11.5*10^-6)*1)</f>
        <v>0</v>
      </c>
      <c r="AG35" s="77">
        <f t="shared" si="9"/>
        <v>0</v>
      </c>
      <c r="AH35" s="77" t="e">
        <f t="shared" si="10"/>
        <v>#REF!</v>
      </c>
      <c r="AI35" s="86">
        <f t="shared" si="11"/>
        <v>0</v>
      </c>
      <c r="AJ35" s="71" t="e">
        <f t="shared" si="12"/>
        <v>#REF!</v>
      </c>
      <c r="AK35" s="74" t="e">
        <f t="shared" si="13"/>
        <v>#REF!</v>
      </c>
      <c r="AL35" s="87" t="e">
        <f t="shared" si="14"/>
        <v>#REF!</v>
      </c>
      <c r="AM35" s="7"/>
      <c r="AN35" s="7"/>
    </row>
    <row r="36" spans="2:40" s="13" customFormat="1" ht="18" hidden="1" customHeight="1">
      <c r="B36" s="75">
        <v>150</v>
      </c>
      <c r="C36" s="76">
        <v>0</v>
      </c>
      <c r="D36" s="77">
        <f t="shared" si="0"/>
        <v>0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8">
        <f>P35</f>
        <v>2.8</v>
      </c>
      <c r="Q36" s="79">
        <f t="shared" si="1"/>
        <v>1.4</v>
      </c>
      <c r="R36" s="78">
        <f>'[4]Cert of STD'!D27</f>
        <v>0</v>
      </c>
      <c r="S36" s="79">
        <f t="shared" si="2"/>
        <v>0</v>
      </c>
      <c r="T36" s="80" t="e">
        <f>#REF!*2</f>
        <v>#REF!</v>
      </c>
      <c r="U36" s="81" t="e">
        <f t="shared" si="4"/>
        <v>#REF!</v>
      </c>
      <c r="V36" s="82">
        <f>(1/16)*[4]Data!E40</f>
        <v>0</v>
      </c>
      <c r="W36" s="81">
        <f t="shared" si="5"/>
        <v>0</v>
      </c>
      <c r="X36" s="76" t="e">
        <f>X35</f>
        <v>#REF!</v>
      </c>
      <c r="Y36" s="81" t="e">
        <f t="shared" si="5"/>
        <v>#REF!</v>
      </c>
      <c r="Z36" s="81">
        <v>1</v>
      </c>
      <c r="AA36" s="83">
        <f t="shared" si="6"/>
        <v>0.57735026918962584</v>
      </c>
      <c r="AB36" s="77" t="e">
        <f>AB35</f>
        <v>#REF!</v>
      </c>
      <c r="AC36" s="84" t="e">
        <f t="shared" si="7"/>
        <v>#REF!</v>
      </c>
      <c r="AD36" s="83" t="e">
        <f>AD35</f>
        <v>#REF!</v>
      </c>
      <c r="AE36" s="83" t="e">
        <f t="shared" si="8"/>
        <v>#REF!</v>
      </c>
      <c r="AF36" s="85">
        <f>(([4]Data!L38)*(11.5*10^-6)*1)</f>
        <v>0</v>
      </c>
      <c r="AG36" s="77">
        <f t="shared" si="9"/>
        <v>0</v>
      </c>
      <c r="AH36" s="77" t="e">
        <f t="shared" si="10"/>
        <v>#REF!</v>
      </c>
      <c r="AI36" s="86">
        <f t="shared" si="11"/>
        <v>0</v>
      </c>
      <c r="AJ36" s="71" t="e">
        <f t="shared" si="12"/>
        <v>#REF!</v>
      </c>
      <c r="AK36" s="74" t="e">
        <f t="shared" si="13"/>
        <v>#REF!</v>
      </c>
      <c r="AL36" s="87" t="e">
        <f t="shared" si="14"/>
        <v>#REF!</v>
      </c>
      <c r="AM36" s="7"/>
      <c r="AN36" s="7"/>
    </row>
    <row r="37" spans="2:40" s="13" customFormat="1" ht="18" hidden="1" customHeight="1">
      <c r="B37" s="75">
        <v>150</v>
      </c>
      <c r="C37" s="76">
        <v>0</v>
      </c>
      <c r="D37" s="77">
        <f t="shared" si="0"/>
        <v>0</v>
      </c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8">
        <f t="shared" ref="P37" si="23">P36</f>
        <v>2.8</v>
      </c>
      <c r="Q37" s="79">
        <f t="shared" si="1"/>
        <v>1.4</v>
      </c>
      <c r="R37" s="78">
        <f>'[4]Cert of STD'!D28</f>
        <v>0</v>
      </c>
      <c r="S37" s="79">
        <f t="shared" si="2"/>
        <v>0</v>
      </c>
      <c r="T37" s="80" t="e">
        <f>#REF!*2</f>
        <v>#REF!</v>
      </c>
      <c r="U37" s="81" t="e">
        <f t="shared" si="4"/>
        <v>#REF!</v>
      </c>
      <c r="V37" s="82">
        <f>(1/16)*[4]Data!E41</f>
        <v>0</v>
      </c>
      <c r="W37" s="81">
        <f t="shared" si="5"/>
        <v>0</v>
      </c>
      <c r="X37" s="76" t="e">
        <f t="shared" ref="X37" si="24">X36</f>
        <v>#REF!</v>
      </c>
      <c r="Y37" s="81" t="e">
        <f t="shared" si="5"/>
        <v>#REF!</v>
      </c>
      <c r="Z37" s="81">
        <v>1</v>
      </c>
      <c r="AA37" s="83">
        <f t="shared" si="6"/>
        <v>0.57735026918962584</v>
      </c>
      <c r="AB37" s="77" t="e">
        <f t="shared" ref="AB37" si="25">AB36</f>
        <v>#REF!</v>
      </c>
      <c r="AC37" s="84" t="e">
        <f t="shared" si="7"/>
        <v>#REF!</v>
      </c>
      <c r="AD37" s="83" t="e">
        <f t="shared" ref="AD37" si="26">AD36</f>
        <v>#REF!</v>
      </c>
      <c r="AE37" s="83" t="e">
        <f t="shared" si="8"/>
        <v>#REF!</v>
      </c>
      <c r="AF37" s="85">
        <f>(([4]Data!L39)*(11.5*10^-6)*1)</f>
        <v>2.3E-5</v>
      </c>
      <c r="AG37" s="77">
        <f t="shared" si="9"/>
        <v>1.3279056191361393E-5</v>
      </c>
      <c r="AH37" s="77" t="e">
        <f t="shared" si="10"/>
        <v>#REF!</v>
      </c>
      <c r="AI37" s="86">
        <f t="shared" si="11"/>
        <v>0</v>
      </c>
      <c r="AJ37" s="71" t="e">
        <f t="shared" si="12"/>
        <v>#REF!</v>
      </c>
      <c r="AK37" s="74" t="e">
        <f t="shared" si="13"/>
        <v>#REF!</v>
      </c>
      <c r="AL37" s="87" t="e">
        <f t="shared" si="14"/>
        <v>#REF!</v>
      </c>
      <c r="AM37" s="7"/>
      <c r="AN37" s="7"/>
    </row>
    <row r="38" spans="2:40" s="13" customFormat="1" ht="18" hidden="1" customHeight="1">
      <c r="B38" s="75">
        <v>150</v>
      </c>
      <c r="C38" s="76">
        <v>0</v>
      </c>
      <c r="D38" s="77">
        <f t="shared" si="0"/>
        <v>0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8">
        <f>P37</f>
        <v>2.8</v>
      </c>
      <c r="Q38" s="79">
        <f t="shared" si="1"/>
        <v>1.4</v>
      </c>
      <c r="R38" s="78">
        <f>'[4]Cert of STD'!D29</f>
        <v>0</v>
      </c>
      <c r="S38" s="79">
        <f t="shared" si="2"/>
        <v>0</v>
      </c>
      <c r="T38" s="80" t="e">
        <f>#REF!*2</f>
        <v>#REF!</v>
      </c>
      <c r="U38" s="81" t="e">
        <f t="shared" si="4"/>
        <v>#REF!</v>
      </c>
      <c r="V38" s="82">
        <f>(1/16)*[4]Data!E42</f>
        <v>0</v>
      </c>
      <c r="W38" s="81">
        <f t="shared" si="5"/>
        <v>0</v>
      </c>
      <c r="X38" s="76" t="e">
        <f>X37</f>
        <v>#REF!</v>
      </c>
      <c r="Y38" s="81" t="e">
        <f t="shared" si="5"/>
        <v>#REF!</v>
      </c>
      <c r="Z38" s="81">
        <v>1</v>
      </c>
      <c r="AA38" s="83">
        <f t="shared" si="6"/>
        <v>0.57735026918962584</v>
      </c>
      <c r="AB38" s="77" t="e">
        <f>AB37</f>
        <v>#REF!</v>
      </c>
      <c r="AC38" s="84" t="e">
        <f t="shared" si="7"/>
        <v>#REF!</v>
      </c>
      <c r="AD38" s="83" t="e">
        <f>AD37</f>
        <v>#REF!</v>
      </c>
      <c r="AE38" s="83" t="e">
        <f t="shared" si="8"/>
        <v>#REF!</v>
      </c>
      <c r="AF38" s="85">
        <f>(([4]Data!L40)*(11.5*10^-6)*1)</f>
        <v>1.15011845E-4</v>
      </c>
      <c r="AG38" s="77">
        <f t="shared" si="9"/>
        <v>6.6402119670745514E-5</v>
      </c>
      <c r="AH38" s="77" t="e">
        <f t="shared" si="10"/>
        <v>#REF!</v>
      </c>
      <c r="AI38" s="86">
        <f t="shared" si="11"/>
        <v>0</v>
      </c>
      <c r="AJ38" s="71" t="e">
        <f t="shared" si="12"/>
        <v>#REF!</v>
      </c>
      <c r="AK38" s="74" t="e">
        <f t="shared" si="13"/>
        <v>#REF!</v>
      </c>
      <c r="AL38" s="87" t="e">
        <f t="shared" si="14"/>
        <v>#REF!</v>
      </c>
      <c r="AM38" s="7"/>
      <c r="AN38" s="7"/>
    </row>
    <row r="39" spans="2:40" s="13" customFormat="1" ht="18" hidden="1" customHeight="1">
      <c r="B39" s="75">
        <v>150</v>
      </c>
      <c r="C39" s="76">
        <v>0</v>
      </c>
      <c r="D39" s="77">
        <f t="shared" si="0"/>
        <v>0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8">
        <f t="shared" ref="P39" si="27">P38</f>
        <v>2.8</v>
      </c>
      <c r="Q39" s="79">
        <f t="shared" si="1"/>
        <v>1.4</v>
      </c>
      <c r="R39" s="78">
        <f>'[4]Cert of STD'!D30</f>
        <v>0</v>
      </c>
      <c r="S39" s="79">
        <f t="shared" si="2"/>
        <v>0</v>
      </c>
      <c r="T39" s="80" t="e">
        <f>#REF!*2</f>
        <v>#REF!</v>
      </c>
      <c r="U39" s="81" t="e">
        <f t="shared" si="4"/>
        <v>#REF!</v>
      </c>
      <c r="V39" s="82">
        <f>(1/16)*[4]Data!E43</f>
        <v>0</v>
      </c>
      <c r="W39" s="81">
        <f t="shared" si="5"/>
        <v>0</v>
      </c>
      <c r="X39" s="76" t="e">
        <f t="shared" ref="X39" si="28">X38</f>
        <v>#REF!</v>
      </c>
      <c r="Y39" s="81" t="e">
        <f t="shared" si="5"/>
        <v>#REF!</v>
      </c>
      <c r="Z39" s="81">
        <v>1</v>
      </c>
      <c r="AA39" s="83">
        <f t="shared" si="6"/>
        <v>0.57735026918962584</v>
      </c>
      <c r="AB39" s="77" t="e">
        <f t="shared" ref="AB39" si="29">AB38</f>
        <v>#REF!</v>
      </c>
      <c r="AC39" s="84" t="e">
        <f t="shared" si="7"/>
        <v>#REF!</v>
      </c>
      <c r="AD39" s="83" t="e">
        <f t="shared" ref="AD39" si="30">AD38</f>
        <v>#REF!</v>
      </c>
      <c r="AE39" s="83" t="e">
        <f t="shared" si="8"/>
        <v>#REF!</v>
      </c>
      <c r="AF39" s="85">
        <f>(([4]Data!L41)*(11.5*10^-6)*1)</f>
        <v>1.15011845E-4</v>
      </c>
      <c r="AG39" s="77">
        <f t="shared" si="9"/>
        <v>6.6402119670745514E-5</v>
      </c>
      <c r="AH39" s="77" t="e">
        <f t="shared" si="10"/>
        <v>#REF!</v>
      </c>
      <c r="AI39" s="86">
        <f t="shared" si="11"/>
        <v>0</v>
      </c>
      <c r="AJ39" s="71" t="e">
        <f t="shared" si="12"/>
        <v>#REF!</v>
      </c>
      <c r="AK39" s="74" t="e">
        <f t="shared" si="13"/>
        <v>#REF!</v>
      </c>
      <c r="AL39" s="87" t="e">
        <f t="shared" si="14"/>
        <v>#REF!</v>
      </c>
      <c r="AM39" s="7"/>
      <c r="AN39" s="7"/>
    </row>
    <row r="40" spans="2:40" s="13" customFormat="1" ht="18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506" t="s">
        <v>149</v>
      </c>
      <c r="S40" s="493" t="s">
        <v>150</v>
      </c>
      <c r="T40" s="494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2:40" s="13" customFormat="1" ht="18" customHeight="1">
      <c r="B41" s="7"/>
      <c r="C41" s="7"/>
      <c r="D41" s="7"/>
      <c r="E41" s="7"/>
      <c r="F41" s="7"/>
      <c r="G41" s="7"/>
      <c r="H41" s="7"/>
      <c r="Q41" s="7"/>
      <c r="R41" s="506"/>
      <c r="S41" s="494"/>
      <c r="T41" s="494"/>
      <c r="U41" s="7"/>
      <c r="V41" s="7"/>
      <c r="W41" s="7"/>
      <c r="X41" s="7"/>
      <c r="Y41" s="7"/>
      <c r="Z41" s="7"/>
      <c r="AA41" s="7"/>
      <c r="AB41" s="7"/>
      <c r="AC41" s="7"/>
    </row>
    <row r="42" spans="2:40" s="13" customFormat="1" ht="18" customHeight="1">
      <c r="B42" s="7"/>
      <c r="C42" s="7"/>
      <c r="D42" s="7"/>
      <c r="E42" s="7"/>
      <c r="F42" s="7"/>
      <c r="G42" s="7"/>
      <c r="H42" s="7"/>
      <c r="Q42" s="7"/>
      <c r="R42" s="7"/>
      <c r="S42" s="493" t="s">
        <v>151</v>
      </c>
      <c r="T42" s="494" t="s">
        <v>152</v>
      </c>
      <c r="U42" s="494"/>
      <c r="V42" s="494"/>
      <c r="W42" s="7"/>
      <c r="X42" s="7"/>
      <c r="Y42" s="7"/>
      <c r="Z42" s="7"/>
      <c r="AA42" s="7"/>
      <c r="AB42" s="7"/>
      <c r="AC42" s="7"/>
    </row>
    <row r="43" spans="2:40" s="13" customFormat="1" ht="18" customHeight="1">
      <c r="B43" s="7"/>
      <c r="C43" s="7"/>
      <c r="D43" s="7"/>
      <c r="E43" s="7"/>
      <c r="F43" s="7"/>
      <c r="G43" s="7"/>
      <c r="H43" s="7"/>
      <c r="Q43" s="7"/>
      <c r="R43" s="7"/>
      <c r="S43" s="494"/>
      <c r="T43" s="494"/>
      <c r="U43" s="494"/>
      <c r="V43" s="494"/>
      <c r="W43" s="7"/>
      <c r="X43" s="7"/>
      <c r="Y43" s="7"/>
      <c r="Z43" s="7"/>
      <c r="AA43" s="7"/>
      <c r="AB43" s="7"/>
      <c r="AC43" s="7"/>
    </row>
    <row r="44" spans="2:40" s="13" customFormat="1" ht="18" customHeight="1">
      <c r="B44" s="7"/>
      <c r="C44" s="7"/>
      <c r="D44" s="7"/>
      <c r="E44" s="7"/>
      <c r="F44" s="7"/>
      <c r="G44" s="7"/>
      <c r="H44" s="7"/>
      <c r="Q44" s="7"/>
      <c r="R44" s="8" t="s">
        <v>154</v>
      </c>
      <c r="S44" s="255">
        <f>((((9*V46^2)/(8*(T47/1000)))*(((1-W48^2)/(4*10^11))+((1-U48^2)/(2*10^11)))^2)^(1/3))</f>
        <v>8.7919175945659843E-8</v>
      </c>
      <c r="T44" s="8"/>
      <c r="U44" s="256" t="s">
        <v>155</v>
      </c>
      <c r="V44" s="257">
        <f>(SIN((60/2)*PI()/180)^(-5/3))*(0.5^(2/3))*S44</f>
        <v>1.7583835189131971E-7</v>
      </c>
      <c r="W44" s="7"/>
      <c r="X44" s="7"/>
      <c r="Y44" s="7"/>
      <c r="Z44" s="7"/>
      <c r="AA44" s="7"/>
      <c r="AB44" s="7"/>
      <c r="AC44" s="7"/>
    </row>
    <row r="45" spans="2:40" s="13" customFormat="1" ht="18" customHeight="1">
      <c r="B45" s="7"/>
      <c r="C45" s="7"/>
      <c r="D45" s="7"/>
      <c r="E45" s="7"/>
      <c r="F45" s="7"/>
      <c r="G45" s="7"/>
      <c r="H45" s="7"/>
      <c r="Q45" s="7"/>
      <c r="R45" s="7"/>
      <c r="S45" s="8"/>
      <c r="T45" s="8"/>
      <c r="U45" s="8"/>
      <c r="V45" s="8"/>
      <c r="W45" s="7"/>
      <c r="X45" s="7"/>
      <c r="Y45" s="7"/>
      <c r="Z45" s="7"/>
      <c r="AA45" s="7"/>
      <c r="AB45" s="7"/>
      <c r="AC45" s="7"/>
    </row>
    <row r="46" spans="2:40" s="13" customFormat="1" ht="18" customHeight="1">
      <c r="B46" s="7"/>
      <c r="C46" s="7"/>
      <c r="D46" s="7"/>
      <c r="E46" s="7"/>
      <c r="F46" s="7"/>
      <c r="G46" s="7"/>
      <c r="H46" s="7"/>
      <c r="Q46" s="258" t="s">
        <v>156</v>
      </c>
      <c r="R46" s="7" t="s">
        <v>157</v>
      </c>
      <c r="S46" s="7"/>
      <c r="T46" s="7"/>
      <c r="U46" s="7"/>
      <c r="V46" s="7">
        <v>0.2</v>
      </c>
      <c r="W46" s="7"/>
      <c r="X46" s="259"/>
      <c r="Y46" s="7"/>
      <c r="Z46" s="7"/>
      <c r="AA46" s="7"/>
      <c r="AB46" s="7"/>
      <c r="AC46" s="7"/>
    </row>
    <row r="47" spans="2:40" s="13" customFormat="1" ht="18" customHeight="1">
      <c r="B47" s="7"/>
      <c r="C47" s="7"/>
      <c r="D47" s="7"/>
      <c r="E47" s="7"/>
      <c r="F47" s="7"/>
      <c r="G47" s="7"/>
      <c r="H47" s="7"/>
      <c r="Q47" s="260" t="s">
        <v>158</v>
      </c>
      <c r="R47" s="7" t="s">
        <v>159</v>
      </c>
      <c r="S47" s="7"/>
      <c r="T47" s="7">
        <f>I8</f>
        <v>3.2</v>
      </c>
      <c r="U47" s="7"/>
      <c r="V47" s="7"/>
      <c r="W47" s="7"/>
      <c r="X47" s="7"/>
      <c r="Y47" s="7"/>
      <c r="Z47" s="7"/>
      <c r="AA47" s="7"/>
      <c r="AB47" s="7"/>
      <c r="AC47" s="7"/>
    </row>
    <row r="48" spans="2:40" s="13" customFormat="1" ht="18" customHeight="1">
      <c r="B48" s="7"/>
      <c r="C48" s="7"/>
      <c r="D48" s="7"/>
      <c r="E48" s="7"/>
      <c r="F48" s="7"/>
      <c r="G48" s="7"/>
      <c r="H48" s="7"/>
      <c r="Q48" s="258" t="s">
        <v>160</v>
      </c>
      <c r="R48" s="7" t="s">
        <v>161</v>
      </c>
      <c r="S48" s="7"/>
      <c r="T48" s="258" t="s">
        <v>162</v>
      </c>
      <c r="U48" s="261">
        <v>0.28000000000000003</v>
      </c>
      <c r="V48" s="258" t="s">
        <v>163</v>
      </c>
      <c r="W48" s="261">
        <v>0.25</v>
      </c>
      <c r="Y48" s="7"/>
      <c r="Z48" s="7"/>
      <c r="AA48" s="7"/>
      <c r="AB48" s="7"/>
      <c r="AC48" s="7"/>
    </row>
    <row r="49" spans="2:40" s="13" customFormat="1" ht="18" customHeight="1">
      <c r="B49" s="7"/>
      <c r="C49" s="7"/>
      <c r="D49" s="7"/>
      <c r="E49" s="7"/>
      <c r="F49" s="7"/>
      <c r="G49" s="7"/>
      <c r="H49" s="7"/>
      <c r="Q49" s="262" t="s">
        <v>164</v>
      </c>
      <c r="R49" s="263" t="s">
        <v>165</v>
      </c>
      <c r="S49" s="7"/>
      <c r="T49" s="258" t="s">
        <v>162</v>
      </c>
      <c r="U49" s="7" t="s">
        <v>166</v>
      </c>
      <c r="V49" s="258" t="s">
        <v>163</v>
      </c>
      <c r="W49" s="7" t="s">
        <v>167</v>
      </c>
      <c r="X49" s="7" t="s">
        <v>168</v>
      </c>
      <c r="Y49" s="7"/>
      <c r="Z49" s="7"/>
      <c r="AA49" s="7"/>
      <c r="AB49" s="7"/>
      <c r="AC49" s="7"/>
    </row>
    <row r="50" spans="2:40" s="13" customFormat="1" ht="18" customHeight="1">
      <c r="B50" s="7"/>
      <c r="C50" s="7"/>
      <c r="D50" s="7"/>
      <c r="E50" s="7"/>
      <c r="F50" s="7"/>
      <c r="G50" s="7"/>
      <c r="H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40" s="13" customFormat="1" ht="18" customHeight="1">
      <c r="B51" s="7"/>
      <c r="C51" s="7"/>
      <c r="D51" s="7"/>
      <c r="E51" s="7"/>
      <c r="F51" s="7"/>
      <c r="G51" s="7"/>
      <c r="H51" s="7"/>
      <c r="R51" s="90"/>
      <c r="S51" s="7"/>
      <c r="U51" s="7"/>
      <c r="W51" s="7"/>
      <c r="X51" s="7"/>
      <c r="Y51" s="7"/>
      <c r="Z51" s="7"/>
      <c r="AA51" s="7"/>
      <c r="AB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2:40" s="13" customFormat="1" ht="18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V52" s="91"/>
      <c r="W52" s="91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2:40" s="13" customFormat="1" ht="1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2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4"/>
      <c r="AI53" s="93"/>
      <c r="AJ53" s="93"/>
      <c r="AK53" s="93"/>
      <c r="AL53" s="95"/>
      <c r="AM53" s="96"/>
      <c r="AN53" s="93"/>
    </row>
    <row r="54" spans="2:40" s="13" customFormat="1" ht="1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2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4"/>
      <c r="AI54" s="93"/>
      <c r="AJ54" s="93"/>
      <c r="AK54" s="93"/>
      <c r="AL54" s="95"/>
      <c r="AM54" s="96"/>
      <c r="AN54" s="93"/>
    </row>
    <row r="55" spans="2:40" s="13" customFormat="1" ht="1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2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4"/>
      <c r="AI55" s="93"/>
      <c r="AJ55" s="93"/>
      <c r="AK55" s="93"/>
      <c r="AL55" s="95"/>
      <c r="AM55" s="96"/>
      <c r="AN55" s="93"/>
    </row>
    <row r="56" spans="2:40">
      <c r="V56" s="93"/>
    </row>
  </sheetData>
  <mergeCells count="76">
    <mergeCell ref="R40:R41"/>
    <mergeCell ref="S40:S41"/>
    <mergeCell ref="T40:T41"/>
    <mergeCell ref="S42:S43"/>
    <mergeCell ref="T42:V43"/>
    <mergeCell ref="C22:E22"/>
    <mergeCell ref="F22:G22"/>
    <mergeCell ref="H22:I22"/>
    <mergeCell ref="J22:K22"/>
    <mergeCell ref="M22:N22"/>
    <mergeCell ref="C23:E23"/>
    <mergeCell ref="F23:G23"/>
    <mergeCell ref="H23:I23"/>
    <mergeCell ref="J23:K23"/>
    <mergeCell ref="M23:N23"/>
    <mergeCell ref="C20:E20"/>
    <mergeCell ref="F20:G20"/>
    <mergeCell ref="H20:I20"/>
    <mergeCell ref="J20:K20"/>
    <mergeCell ref="M20:N20"/>
    <mergeCell ref="C21:E21"/>
    <mergeCell ref="F21:G21"/>
    <mergeCell ref="H21:I21"/>
    <mergeCell ref="J21:K21"/>
    <mergeCell ref="M21:N21"/>
    <mergeCell ref="C18:E18"/>
    <mergeCell ref="F18:G18"/>
    <mergeCell ref="H18:I18"/>
    <mergeCell ref="J18:K18"/>
    <mergeCell ref="M18:N18"/>
    <mergeCell ref="C19:E19"/>
    <mergeCell ref="F19:G19"/>
    <mergeCell ref="H19:I19"/>
    <mergeCell ref="J19:K19"/>
    <mergeCell ref="M19:N19"/>
    <mergeCell ref="C16:E16"/>
    <mergeCell ref="F16:G16"/>
    <mergeCell ref="H16:I16"/>
    <mergeCell ref="J16:K16"/>
    <mergeCell ref="M16:N16"/>
    <mergeCell ref="C17:E17"/>
    <mergeCell ref="F17:G17"/>
    <mergeCell ref="H17:I17"/>
    <mergeCell ref="J17:K17"/>
    <mergeCell ref="M17:N17"/>
    <mergeCell ref="C14:E14"/>
    <mergeCell ref="F14:G14"/>
    <mergeCell ref="H14:I14"/>
    <mergeCell ref="J14:K14"/>
    <mergeCell ref="M14:N14"/>
    <mergeCell ref="C15:E15"/>
    <mergeCell ref="F15:G15"/>
    <mergeCell ref="H15:I15"/>
    <mergeCell ref="J15:K15"/>
    <mergeCell ref="M15:N15"/>
    <mergeCell ref="J12:K13"/>
    <mergeCell ref="L12:L13"/>
    <mergeCell ref="M12:N12"/>
    <mergeCell ref="O12:O13"/>
    <mergeCell ref="F13:G13"/>
    <mergeCell ref="H13:I13"/>
    <mergeCell ref="M13:N13"/>
    <mergeCell ref="D6:E6"/>
    <mergeCell ref="D7:E7"/>
    <mergeCell ref="G8:H8"/>
    <mergeCell ref="G9:H9"/>
    <mergeCell ref="B12:B13"/>
    <mergeCell ref="C12:E13"/>
    <mergeCell ref="F12:G12"/>
    <mergeCell ref="H12:I12"/>
    <mergeCell ref="Q5:R5"/>
    <mergeCell ref="B2:O2"/>
    <mergeCell ref="B5:C5"/>
    <mergeCell ref="E5:F5"/>
    <mergeCell ref="I5:J5"/>
    <mergeCell ref="K5:L5"/>
  </mergeCells>
  <pageMargins left="0.31496062992125984" right="0.31496062992125984" top="0.74803149606299213" bottom="0.74803149606299213" header="0.31496062992125984" footer="0.31496062992125984"/>
  <pageSetup paperSize="9" scale="85" orientation="landscape" r:id="rId1"/>
  <colBreaks count="1" manualBreakCount="1">
    <brk id="38" max="1048575" man="1"/>
  </colBreaks>
  <drawing r:id="rId2"/>
  <legacyDrawing r:id="rId3"/>
  <oleObjects>
    <mc:AlternateContent xmlns:mc="http://schemas.openxmlformats.org/markup-compatibility/2006">
      <mc:Choice Requires="x14">
        <oleObject progId="Equation.3" shapeId="13313" r:id="rId4">
          <objectPr defaultSize="0" autoPict="0" r:id="rId5">
            <anchor moveWithCells="1">
              <from>
                <xdr:col>14</xdr:col>
                <xdr:colOff>171450</xdr:colOff>
                <xdr:row>14</xdr:row>
                <xdr:rowOff>28575</xdr:rowOff>
              </from>
              <to>
                <xdr:col>14</xdr:col>
                <xdr:colOff>428625</xdr:colOff>
                <xdr:row>14</xdr:row>
                <xdr:rowOff>200025</xdr:rowOff>
              </to>
            </anchor>
          </objectPr>
        </oleObject>
      </mc:Choice>
      <mc:Fallback>
        <oleObject progId="Equation.3" shapeId="13313" r:id="rId4"/>
      </mc:Fallback>
    </mc:AlternateContent>
    <mc:AlternateContent xmlns:mc="http://schemas.openxmlformats.org/markup-compatibility/2006">
      <mc:Choice Requires="x14">
        <oleObject progId="Equation.3" shapeId="13314" r:id="rId6">
          <objectPr defaultSize="0" autoPict="0" r:id="rId5">
            <anchor moveWithCells="1">
              <from>
                <xdr:col>14</xdr:col>
                <xdr:colOff>171450</xdr:colOff>
                <xdr:row>15</xdr:row>
                <xdr:rowOff>28575</xdr:rowOff>
              </from>
              <to>
                <xdr:col>14</xdr:col>
                <xdr:colOff>428625</xdr:colOff>
                <xdr:row>15</xdr:row>
                <xdr:rowOff>200025</xdr:rowOff>
              </to>
            </anchor>
          </objectPr>
        </oleObject>
      </mc:Choice>
      <mc:Fallback>
        <oleObject progId="Equation.3" shapeId="13314" r:id="rId6"/>
      </mc:Fallback>
    </mc:AlternateContent>
    <mc:AlternateContent xmlns:mc="http://schemas.openxmlformats.org/markup-compatibility/2006">
      <mc:Choice Requires="x14">
        <oleObject progId="Equation.3" shapeId="13315" r:id="rId7">
          <objectPr defaultSize="0" autoPict="0" r:id="rId5">
            <anchor moveWithCells="1">
              <from>
                <xdr:col>14</xdr:col>
                <xdr:colOff>171450</xdr:colOff>
                <xdr:row>16</xdr:row>
                <xdr:rowOff>28575</xdr:rowOff>
              </from>
              <to>
                <xdr:col>14</xdr:col>
                <xdr:colOff>428625</xdr:colOff>
                <xdr:row>16</xdr:row>
                <xdr:rowOff>200025</xdr:rowOff>
              </to>
            </anchor>
          </objectPr>
        </oleObject>
      </mc:Choice>
      <mc:Fallback>
        <oleObject progId="Equation.3" shapeId="13315" r:id="rId7"/>
      </mc:Fallback>
    </mc:AlternateContent>
    <mc:AlternateContent xmlns:mc="http://schemas.openxmlformats.org/markup-compatibility/2006">
      <mc:Choice Requires="x14">
        <oleObject progId="Equation.3" shapeId="13316" r:id="rId8">
          <objectPr defaultSize="0" autoPict="0" r:id="rId5">
            <anchor moveWithCells="1">
              <from>
                <xdr:col>14</xdr:col>
                <xdr:colOff>180975</xdr:colOff>
                <xdr:row>19</xdr:row>
                <xdr:rowOff>9525</xdr:rowOff>
              </from>
              <to>
                <xdr:col>14</xdr:col>
                <xdr:colOff>438150</xdr:colOff>
                <xdr:row>19</xdr:row>
                <xdr:rowOff>180975</xdr:rowOff>
              </to>
            </anchor>
          </objectPr>
        </oleObject>
      </mc:Choice>
      <mc:Fallback>
        <oleObject progId="Equation.3" shapeId="13316" r:id="rId8"/>
      </mc:Fallback>
    </mc:AlternateContent>
    <mc:AlternateContent xmlns:mc="http://schemas.openxmlformats.org/markup-compatibility/2006">
      <mc:Choice Requires="x14">
        <oleObject progId="Equation.3" shapeId="13317" r:id="rId9">
          <objectPr defaultSize="0" autoPict="0" r:id="rId5">
            <anchor moveWithCells="1">
              <from>
                <xdr:col>14</xdr:col>
                <xdr:colOff>171450</xdr:colOff>
                <xdr:row>18</xdr:row>
                <xdr:rowOff>38100</xdr:rowOff>
              </from>
              <to>
                <xdr:col>14</xdr:col>
                <xdr:colOff>428625</xdr:colOff>
                <xdr:row>18</xdr:row>
                <xdr:rowOff>209550</xdr:rowOff>
              </to>
            </anchor>
          </objectPr>
        </oleObject>
      </mc:Choice>
      <mc:Fallback>
        <oleObject progId="Equation.3" shapeId="13317" r:id="rId9"/>
      </mc:Fallback>
    </mc:AlternateContent>
    <mc:AlternateContent xmlns:mc="http://schemas.openxmlformats.org/markup-compatibility/2006">
      <mc:Choice Requires="x14">
        <oleObject progId="Equation.3" shapeId="13318" r:id="rId10">
          <objectPr defaultSize="0" autoPict="0" r:id="rId5">
            <anchor moveWithCells="1">
              <from>
                <xdr:col>14</xdr:col>
                <xdr:colOff>171450</xdr:colOff>
                <xdr:row>17</xdr:row>
                <xdr:rowOff>19050</xdr:rowOff>
              </from>
              <to>
                <xdr:col>14</xdr:col>
                <xdr:colOff>428625</xdr:colOff>
                <xdr:row>17</xdr:row>
                <xdr:rowOff>190500</xdr:rowOff>
              </to>
            </anchor>
          </objectPr>
        </oleObject>
      </mc:Choice>
      <mc:Fallback>
        <oleObject progId="Equation.3" shapeId="13318" r:id="rId10"/>
      </mc:Fallback>
    </mc:AlternateContent>
    <mc:AlternateContent xmlns:mc="http://schemas.openxmlformats.org/markup-compatibility/2006">
      <mc:Choice Requires="x14">
        <oleObject progId="Equation.3" shapeId="13319" r:id="rId11">
          <objectPr defaultSize="0" autoPict="0" r:id="rId5">
            <anchor moveWithCells="1">
              <from>
                <xdr:col>14</xdr:col>
                <xdr:colOff>171450</xdr:colOff>
                <xdr:row>20</xdr:row>
                <xdr:rowOff>28575</xdr:rowOff>
              </from>
              <to>
                <xdr:col>14</xdr:col>
                <xdr:colOff>428625</xdr:colOff>
                <xdr:row>20</xdr:row>
                <xdr:rowOff>200025</xdr:rowOff>
              </to>
            </anchor>
          </objectPr>
        </oleObject>
      </mc:Choice>
      <mc:Fallback>
        <oleObject progId="Equation.3" shapeId="13319" r:id="rId11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X56"/>
  <sheetViews>
    <sheetView topLeftCell="A2" zoomScale="90" zoomScaleNormal="90" zoomScaleSheetLayoutView="100" workbookViewId="0">
      <selection activeCell="M23" sqref="M23:N23"/>
    </sheetView>
  </sheetViews>
  <sheetFormatPr defaultRowHeight="15"/>
  <cols>
    <col min="1" max="1" width="1.140625" style="51" customWidth="1"/>
    <col min="2" max="29" width="7.5703125" style="51" customWidth="1"/>
    <col min="30" max="38" width="7.140625" style="51" customWidth="1"/>
    <col min="39" max="39" width="4.42578125" style="51" customWidth="1"/>
    <col min="40" max="40" width="7.140625" style="51" customWidth="1"/>
    <col min="41" max="41" width="1.42578125" style="51" customWidth="1"/>
    <col min="48" max="276" width="9.140625" style="51"/>
    <col min="277" max="277" width="1.140625" style="51" customWidth="1"/>
    <col min="278" max="278" width="7.5703125" style="51" customWidth="1"/>
    <col min="279" max="293" width="7.140625" style="51" customWidth="1"/>
    <col min="294" max="295" width="1.42578125" style="51" customWidth="1"/>
    <col min="296" max="296" width="6.42578125" style="51" customWidth="1"/>
    <col min="297" max="298" width="8.7109375" style="51" bestFit="1" customWidth="1"/>
    <col min="299" max="532" width="9.140625" style="51"/>
    <col min="533" max="533" width="1.140625" style="51" customWidth="1"/>
    <col min="534" max="534" width="7.5703125" style="51" customWidth="1"/>
    <col min="535" max="549" width="7.140625" style="51" customWidth="1"/>
    <col min="550" max="551" width="1.42578125" style="51" customWidth="1"/>
    <col min="552" max="552" width="6.42578125" style="51" customWidth="1"/>
    <col min="553" max="554" width="8.7109375" style="51" bestFit="1" customWidth="1"/>
    <col min="555" max="788" width="9.140625" style="51"/>
    <col min="789" max="789" width="1.140625" style="51" customWidth="1"/>
    <col min="790" max="790" width="7.5703125" style="51" customWidth="1"/>
    <col min="791" max="805" width="7.140625" style="51" customWidth="1"/>
    <col min="806" max="807" width="1.42578125" style="51" customWidth="1"/>
    <col min="808" max="808" width="6.42578125" style="51" customWidth="1"/>
    <col min="809" max="810" width="8.7109375" style="51" bestFit="1" customWidth="1"/>
    <col min="811" max="1044" width="9.140625" style="51"/>
    <col min="1045" max="1045" width="1.140625" style="51" customWidth="1"/>
    <col min="1046" max="1046" width="7.5703125" style="51" customWidth="1"/>
    <col min="1047" max="1061" width="7.140625" style="51" customWidth="1"/>
    <col min="1062" max="1063" width="1.42578125" style="51" customWidth="1"/>
    <col min="1064" max="1064" width="6.42578125" style="51" customWidth="1"/>
    <col min="1065" max="1066" width="8.7109375" style="51" bestFit="1" customWidth="1"/>
    <col min="1067" max="1300" width="9.140625" style="51"/>
    <col min="1301" max="1301" width="1.140625" style="51" customWidth="1"/>
    <col min="1302" max="1302" width="7.5703125" style="51" customWidth="1"/>
    <col min="1303" max="1317" width="7.140625" style="51" customWidth="1"/>
    <col min="1318" max="1319" width="1.42578125" style="51" customWidth="1"/>
    <col min="1320" max="1320" width="6.42578125" style="51" customWidth="1"/>
    <col min="1321" max="1322" width="8.7109375" style="51" bestFit="1" customWidth="1"/>
    <col min="1323" max="1556" width="9.140625" style="51"/>
    <col min="1557" max="1557" width="1.140625" style="51" customWidth="1"/>
    <col min="1558" max="1558" width="7.5703125" style="51" customWidth="1"/>
    <col min="1559" max="1573" width="7.140625" style="51" customWidth="1"/>
    <col min="1574" max="1575" width="1.42578125" style="51" customWidth="1"/>
    <col min="1576" max="1576" width="6.42578125" style="51" customWidth="1"/>
    <col min="1577" max="1578" width="8.7109375" style="51" bestFit="1" customWidth="1"/>
    <col min="1579" max="1812" width="9.140625" style="51"/>
    <col min="1813" max="1813" width="1.140625" style="51" customWidth="1"/>
    <col min="1814" max="1814" width="7.5703125" style="51" customWidth="1"/>
    <col min="1815" max="1829" width="7.140625" style="51" customWidth="1"/>
    <col min="1830" max="1831" width="1.42578125" style="51" customWidth="1"/>
    <col min="1832" max="1832" width="6.42578125" style="51" customWidth="1"/>
    <col min="1833" max="1834" width="8.7109375" style="51" bestFit="1" customWidth="1"/>
    <col min="1835" max="2068" width="9.140625" style="51"/>
    <col min="2069" max="2069" width="1.140625" style="51" customWidth="1"/>
    <col min="2070" max="2070" width="7.5703125" style="51" customWidth="1"/>
    <col min="2071" max="2085" width="7.140625" style="51" customWidth="1"/>
    <col min="2086" max="2087" width="1.42578125" style="51" customWidth="1"/>
    <col min="2088" max="2088" width="6.42578125" style="51" customWidth="1"/>
    <col min="2089" max="2090" width="8.7109375" style="51" bestFit="1" customWidth="1"/>
    <col min="2091" max="2324" width="9.140625" style="51"/>
    <col min="2325" max="2325" width="1.140625" style="51" customWidth="1"/>
    <col min="2326" max="2326" width="7.5703125" style="51" customWidth="1"/>
    <col min="2327" max="2341" width="7.140625" style="51" customWidth="1"/>
    <col min="2342" max="2343" width="1.42578125" style="51" customWidth="1"/>
    <col min="2344" max="2344" width="6.42578125" style="51" customWidth="1"/>
    <col min="2345" max="2346" width="8.7109375" style="51" bestFit="1" customWidth="1"/>
    <col min="2347" max="2580" width="9.140625" style="51"/>
    <col min="2581" max="2581" width="1.140625" style="51" customWidth="1"/>
    <col min="2582" max="2582" width="7.5703125" style="51" customWidth="1"/>
    <col min="2583" max="2597" width="7.140625" style="51" customWidth="1"/>
    <col min="2598" max="2599" width="1.42578125" style="51" customWidth="1"/>
    <col min="2600" max="2600" width="6.42578125" style="51" customWidth="1"/>
    <col min="2601" max="2602" width="8.7109375" style="51" bestFit="1" customWidth="1"/>
    <col min="2603" max="2836" width="9.140625" style="51"/>
    <col min="2837" max="2837" width="1.140625" style="51" customWidth="1"/>
    <col min="2838" max="2838" width="7.5703125" style="51" customWidth="1"/>
    <col min="2839" max="2853" width="7.140625" style="51" customWidth="1"/>
    <col min="2854" max="2855" width="1.42578125" style="51" customWidth="1"/>
    <col min="2856" max="2856" width="6.42578125" style="51" customWidth="1"/>
    <col min="2857" max="2858" width="8.7109375" style="51" bestFit="1" customWidth="1"/>
    <col min="2859" max="3092" width="9.140625" style="51"/>
    <col min="3093" max="3093" width="1.140625" style="51" customWidth="1"/>
    <col min="3094" max="3094" width="7.5703125" style="51" customWidth="1"/>
    <col min="3095" max="3109" width="7.140625" style="51" customWidth="1"/>
    <col min="3110" max="3111" width="1.42578125" style="51" customWidth="1"/>
    <col min="3112" max="3112" width="6.42578125" style="51" customWidth="1"/>
    <col min="3113" max="3114" width="8.7109375" style="51" bestFit="1" customWidth="1"/>
    <col min="3115" max="3348" width="9.140625" style="51"/>
    <col min="3349" max="3349" width="1.140625" style="51" customWidth="1"/>
    <col min="3350" max="3350" width="7.5703125" style="51" customWidth="1"/>
    <col min="3351" max="3365" width="7.140625" style="51" customWidth="1"/>
    <col min="3366" max="3367" width="1.42578125" style="51" customWidth="1"/>
    <col min="3368" max="3368" width="6.42578125" style="51" customWidth="1"/>
    <col min="3369" max="3370" width="8.7109375" style="51" bestFit="1" customWidth="1"/>
    <col min="3371" max="3604" width="9.140625" style="51"/>
    <col min="3605" max="3605" width="1.140625" style="51" customWidth="1"/>
    <col min="3606" max="3606" width="7.5703125" style="51" customWidth="1"/>
    <col min="3607" max="3621" width="7.140625" style="51" customWidth="1"/>
    <col min="3622" max="3623" width="1.42578125" style="51" customWidth="1"/>
    <col min="3624" max="3624" width="6.42578125" style="51" customWidth="1"/>
    <col min="3625" max="3626" width="8.7109375" style="51" bestFit="1" customWidth="1"/>
    <col min="3627" max="3860" width="9.140625" style="51"/>
    <col min="3861" max="3861" width="1.140625" style="51" customWidth="1"/>
    <col min="3862" max="3862" width="7.5703125" style="51" customWidth="1"/>
    <col min="3863" max="3877" width="7.140625" style="51" customWidth="1"/>
    <col min="3878" max="3879" width="1.42578125" style="51" customWidth="1"/>
    <col min="3880" max="3880" width="6.42578125" style="51" customWidth="1"/>
    <col min="3881" max="3882" width="8.7109375" style="51" bestFit="1" customWidth="1"/>
    <col min="3883" max="4116" width="9.140625" style="51"/>
    <col min="4117" max="4117" width="1.140625" style="51" customWidth="1"/>
    <col min="4118" max="4118" width="7.5703125" style="51" customWidth="1"/>
    <col min="4119" max="4133" width="7.140625" style="51" customWidth="1"/>
    <col min="4134" max="4135" width="1.42578125" style="51" customWidth="1"/>
    <col min="4136" max="4136" width="6.42578125" style="51" customWidth="1"/>
    <col min="4137" max="4138" width="8.7109375" style="51" bestFit="1" customWidth="1"/>
    <col min="4139" max="4372" width="9.140625" style="51"/>
    <col min="4373" max="4373" width="1.140625" style="51" customWidth="1"/>
    <col min="4374" max="4374" width="7.5703125" style="51" customWidth="1"/>
    <col min="4375" max="4389" width="7.140625" style="51" customWidth="1"/>
    <col min="4390" max="4391" width="1.42578125" style="51" customWidth="1"/>
    <col min="4392" max="4392" width="6.42578125" style="51" customWidth="1"/>
    <col min="4393" max="4394" width="8.7109375" style="51" bestFit="1" customWidth="1"/>
    <col min="4395" max="4628" width="9.140625" style="51"/>
    <col min="4629" max="4629" width="1.140625" style="51" customWidth="1"/>
    <col min="4630" max="4630" width="7.5703125" style="51" customWidth="1"/>
    <col min="4631" max="4645" width="7.140625" style="51" customWidth="1"/>
    <col min="4646" max="4647" width="1.42578125" style="51" customWidth="1"/>
    <col min="4648" max="4648" width="6.42578125" style="51" customWidth="1"/>
    <col min="4649" max="4650" width="8.7109375" style="51" bestFit="1" customWidth="1"/>
    <col min="4651" max="4884" width="9.140625" style="51"/>
    <col min="4885" max="4885" width="1.140625" style="51" customWidth="1"/>
    <col min="4886" max="4886" width="7.5703125" style="51" customWidth="1"/>
    <col min="4887" max="4901" width="7.140625" style="51" customWidth="1"/>
    <col min="4902" max="4903" width="1.42578125" style="51" customWidth="1"/>
    <col min="4904" max="4904" width="6.42578125" style="51" customWidth="1"/>
    <col min="4905" max="4906" width="8.7109375" style="51" bestFit="1" customWidth="1"/>
    <col min="4907" max="5140" width="9.140625" style="51"/>
    <col min="5141" max="5141" width="1.140625" style="51" customWidth="1"/>
    <col min="5142" max="5142" width="7.5703125" style="51" customWidth="1"/>
    <col min="5143" max="5157" width="7.140625" style="51" customWidth="1"/>
    <col min="5158" max="5159" width="1.42578125" style="51" customWidth="1"/>
    <col min="5160" max="5160" width="6.42578125" style="51" customWidth="1"/>
    <col min="5161" max="5162" width="8.7109375" style="51" bestFit="1" customWidth="1"/>
    <col min="5163" max="5396" width="9.140625" style="51"/>
    <col min="5397" max="5397" width="1.140625" style="51" customWidth="1"/>
    <col min="5398" max="5398" width="7.5703125" style="51" customWidth="1"/>
    <col min="5399" max="5413" width="7.140625" style="51" customWidth="1"/>
    <col min="5414" max="5415" width="1.42578125" style="51" customWidth="1"/>
    <col min="5416" max="5416" width="6.42578125" style="51" customWidth="1"/>
    <col min="5417" max="5418" width="8.7109375" style="51" bestFit="1" customWidth="1"/>
    <col min="5419" max="5652" width="9.140625" style="51"/>
    <col min="5653" max="5653" width="1.140625" style="51" customWidth="1"/>
    <col min="5654" max="5654" width="7.5703125" style="51" customWidth="1"/>
    <col min="5655" max="5669" width="7.140625" style="51" customWidth="1"/>
    <col min="5670" max="5671" width="1.42578125" style="51" customWidth="1"/>
    <col min="5672" max="5672" width="6.42578125" style="51" customWidth="1"/>
    <col min="5673" max="5674" width="8.7109375" style="51" bestFit="1" customWidth="1"/>
    <col min="5675" max="5908" width="9.140625" style="51"/>
    <col min="5909" max="5909" width="1.140625" style="51" customWidth="1"/>
    <col min="5910" max="5910" width="7.5703125" style="51" customWidth="1"/>
    <col min="5911" max="5925" width="7.140625" style="51" customWidth="1"/>
    <col min="5926" max="5927" width="1.42578125" style="51" customWidth="1"/>
    <col min="5928" max="5928" width="6.42578125" style="51" customWidth="1"/>
    <col min="5929" max="5930" width="8.7109375" style="51" bestFit="1" customWidth="1"/>
    <col min="5931" max="6164" width="9.140625" style="51"/>
    <col min="6165" max="6165" width="1.140625" style="51" customWidth="1"/>
    <col min="6166" max="6166" width="7.5703125" style="51" customWidth="1"/>
    <col min="6167" max="6181" width="7.140625" style="51" customWidth="1"/>
    <col min="6182" max="6183" width="1.42578125" style="51" customWidth="1"/>
    <col min="6184" max="6184" width="6.42578125" style="51" customWidth="1"/>
    <col min="6185" max="6186" width="8.7109375" style="51" bestFit="1" customWidth="1"/>
    <col min="6187" max="6420" width="9.140625" style="51"/>
    <col min="6421" max="6421" width="1.140625" style="51" customWidth="1"/>
    <col min="6422" max="6422" width="7.5703125" style="51" customWidth="1"/>
    <col min="6423" max="6437" width="7.140625" style="51" customWidth="1"/>
    <col min="6438" max="6439" width="1.42578125" style="51" customWidth="1"/>
    <col min="6440" max="6440" width="6.42578125" style="51" customWidth="1"/>
    <col min="6441" max="6442" width="8.7109375" style="51" bestFit="1" customWidth="1"/>
    <col min="6443" max="6676" width="9.140625" style="51"/>
    <col min="6677" max="6677" width="1.140625" style="51" customWidth="1"/>
    <col min="6678" max="6678" width="7.5703125" style="51" customWidth="1"/>
    <col min="6679" max="6693" width="7.140625" style="51" customWidth="1"/>
    <col min="6694" max="6695" width="1.42578125" style="51" customWidth="1"/>
    <col min="6696" max="6696" width="6.42578125" style="51" customWidth="1"/>
    <col min="6697" max="6698" width="8.7109375" style="51" bestFit="1" customWidth="1"/>
    <col min="6699" max="6932" width="9.140625" style="51"/>
    <col min="6933" max="6933" width="1.140625" style="51" customWidth="1"/>
    <col min="6934" max="6934" width="7.5703125" style="51" customWidth="1"/>
    <col min="6935" max="6949" width="7.140625" style="51" customWidth="1"/>
    <col min="6950" max="6951" width="1.42578125" style="51" customWidth="1"/>
    <col min="6952" max="6952" width="6.42578125" style="51" customWidth="1"/>
    <col min="6953" max="6954" width="8.7109375" style="51" bestFit="1" customWidth="1"/>
    <col min="6955" max="7188" width="9.140625" style="51"/>
    <col min="7189" max="7189" width="1.140625" style="51" customWidth="1"/>
    <col min="7190" max="7190" width="7.5703125" style="51" customWidth="1"/>
    <col min="7191" max="7205" width="7.140625" style="51" customWidth="1"/>
    <col min="7206" max="7207" width="1.42578125" style="51" customWidth="1"/>
    <col min="7208" max="7208" width="6.42578125" style="51" customWidth="1"/>
    <col min="7209" max="7210" width="8.7109375" style="51" bestFit="1" customWidth="1"/>
    <col min="7211" max="7444" width="9.140625" style="51"/>
    <col min="7445" max="7445" width="1.140625" style="51" customWidth="1"/>
    <col min="7446" max="7446" width="7.5703125" style="51" customWidth="1"/>
    <col min="7447" max="7461" width="7.140625" style="51" customWidth="1"/>
    <col min="7462" max="7463" width="1.42578125" style="51" customWidth="1"/>
    <col min="7464" max="7464" width="6.42578125" style="51" customWidth="1"/>
    <col min="7465" max="7466" width="8.7109375" style="51" bestFit="1" customWidth="1"/>
    <col min="7467" max="7700" width="9.140625" style="51"/>
    <col min="7701" max="7701" width="1.140625" style="51" customWidth="1"/>
    <col min="7702" max="7702" width="7.5703125" style="51" customWidth="1"/>
    <col min="7703" max="7717" width="7.140625" style="51" customWidth="1"/>
    <col min="7718" max="7719" width="1.42578125" style="51" customWidth="1"/>
    <col min="7720" max="7720" width="6.42578125" style="51" customWidth="1"/>
    <col min="7721" max="7722" width="8.7109375" style="51" bestFit="1" customWidth="1"/>
    <col min="7723" max="7956" width="9.140625" style="51"/>
    <col min="7957" max="7957" width="1.140625" style="51" customWidth="1"/>
    <col min="7958" max="7958" width="7.5703125" style="51" customWidth="1"/>
    <col min="7959" max="7973" width="7.140625" style="51" customWidth="1"/>
    <col min="7974" max="7975" width="1.42578125" style="51" customWidth="1"/>
    <col min="7976" max="7976" width="6.42578125" style="51" customWidth="1"/>
    <col min="7977" max="7978" width="8.7109375" style="51" bestFit="1" customWidth="1"/>
    <col min="7979" max="8212" width="9.140625" style="51"/>
    <col min="8213" max="8213" width="1.140625" style="51" customWidth="1"/>
    <col min="8214" max="8214" width="7.5703125" style="51" customWidth="1"/>
    <col min="8215" max="8229" width="7.140625" style="51" customWidth="1"/>
    <col min="8230" max="8231" width="1.42578125" style="51" customWidth="1"/>
    <col min="8232" max="8232" width="6.42578125" style="51" customWidth="1"/>
    <col min="8233" max="8234" width="8.7109375" style="51" bestFit="1" customWidth="1"/>
    <col min="8235" max="8468" width="9.140625" style="51"/>
    <col min="8469" max="8469" width="1.140625" style="51" customWidth="1"/>
    <col min="8470" max="8470" width="7.5703125" style="51" customWidth="1"/>
    <col min="8471" max="8485" width="7.140625" style="51" customWidth="1"/>
    <col min="8486" max="8487" width="1.42578125" style="51" customWidth="1"/>
    <col min="8488" max="8488" width="6.42578125" style="51" customWidth="1"/>
    <col min="8489" max="8490" width="8.7109375" style="51" bestFit="1" customWidth="1"/>
    <col min="8491" max="8724" width="9.140625" style="51"/>
    <col min="8725" max="8725" width="1.140625" style="51" customWidth="1"/>
    <col min="8726" max="8726" width="7.5703125" style="51" customWidth="1"/>
    <col min="8727" max="8741" width="7.140625" style="51" customWidth="1"/>
    <col min="8742" max="8743" width="1.42578125" style="51" customWidth="1"/>
    <col min="8744" max="8744" width="6.42578125" style="51" customWidth="1"/>
    <col min="8745" max="8746" width="8.7109375" style="51" bestFit="1" customWidth="1"/>
    <col min="8747" max="8980" width="9.140625" style="51"/>
    <col min="8981" max="8981" width="1.140625" style="51" customWidth="1"/>
    <col min="8982" max="8982" width="7.5703125" style="51" customWidth="1"/>
    <col min="8983" max="8997" width="7.140625" style="51" customWidth="1"/>
    <col min="8998" max="8999" width="1.42578125" style="51" customWidth="1"/>
    <col min="9000" max="9000" width="6.42578125" style="51" customWidth="1"/>
    <col min="9001" max="9002" width="8.7109375" style="51" bestFit="1" customWidth="1"/>
    <col min="9003" max="9236" width="9.140625" style="51"/>
    <col min="9237" max="9237" width="1.140625" style="51" customWidth="1"/>
    <col min="9238" max="9238" width="7.5703125" style="51" customWidth="1"/>
    <col min="9239" max="9253" width="7.140625" style="51" customWidth="1"/>
    <col min="9254" max="9255" width="1.42578125" style="51" customWidth="1"/>
    <col min="9256" max="9256" width="6.42578125" style="51" customWidth="1"/>
    <col min="9257" max="9258" width="8.7109375" style="51" bestFit="1" customWidth="1"/>
    <col min="9259" max="9492" width="9.140625" style="51"/>
    <col min="9493" max="9493" width="1.140625" style="51" customWidth="1"/>
    <col min="9494" max="9494" width="7.5703125" style="51" customWidth="1"/>
    <col min="9495" max="9509" width="7.140625" style="51" customWidth="1"/>
    <col min="9510" max="9511" width="1.42578125" style="51" customWidth="1"/>
    <col min="9512" max="9512" width="6.42578125" style="51" customWidth="1"/>
    <col min="9513" max="9514" width="8.7109375" style="51" bestFit="1" customWidth="1"/>
    <col min="9515" max="9748" width="9.140625" style="51"/>
    <col min="9749" max="9749" width="1.140625" style="51" customWidth="1"/>
    <col min="9750" max="9750" width="7.5703125" style="51" customWidth="1"/>
    <col min="9751" max="9765" width="7.140625" style="51" customWidth="1"/>
    <col min="9766" max="9767" width="1.42578125" style="51" customWidth="1"/>
    <col min="9768" max="9768" width="6.42578125" style="51" customWidth="1"/>
    <col min="9769" max="9770" width="8.7109375" style="51" bestFit="1" customWidth="1"/>
    <col min="9771" max="10004" width="9.140625" style="51"/>
    <col min="10005" max="10005" width="1.140625" style="51" customWidth="1"/>
    <col min="10006" max="10006" width="7.5703125" style="51" customWidth="1"/>
    <col min="10007" max="10021" width="7.140625" style="51" customWidth="1"/>
    <col min="10022" max="10023" width="1.42578125" style="51" customWidth="1"/>
    <col min="10024" max="10024" width="6.42578125" style="51" customWidth="1"/>
    <col min="10025" max="10026" width="8.7109375" style="51" bestFit="1" customWidth="1"/>
    <col min="10027" max="10260" width="9.140625" style="51"/>
    <col min="10261" max="10261" width="1.140625" style="51" customWidth="1"/>
    <col min="10262" max="10262" width="7.5703125" style="51" customWidth="1"/>
    <col min="10263" max="10277" width="7.140625" style="51" customWidth="1"/>
    <col min="10278" max="10279" width="1.42578125" style="51" customWidth="1"/>
    <col min="10280" max="10280" width="6.42578125" style="51" customWidth="1"/>
    <col min="10281" max="10282" width="8.7109375" style="51" bestFit="1" customWidth="1"/>
    <col min="10283" max="10516" width="9.140625" style="51"/>
    <col min="10517" max="10517" width="1.140625" style="51" customWidth="1"/>
    <col min="10518" max="10518" width="7.5703125" style="51" customWidth="1"/>
    <col min="10519" max="10533" width="7.140625" style="51" customWidth="1"/>
    <col min="10534" max="10535" width="1.42578125" style="51" customWidth="1"/>
    <col min="10536" max="10536" width="6.42578125" style="51" customWidth="1"/>
    <col min="10537" max="10538" width="8.7109375" style="51" bestFit="1" customWidth="1"/>
    <col min="10539" max="10772" width="9.140625" style="51"/>
    <col min="10773" max="10773" width="1.140625" style="51" customWidth="1"/>
    <col min="10774" max="10774" width="7.5703125" style="51" customWidth="1"/>
    <col min="10775" max="10789" width="7.140625" style="51" customWidth="1"/>
    <col min="10790" max="10791" width="1.42578125" style="51" customWidth="1"/>
    <col min="10792" max="10792" width="6.42578125" style="51" customWidth="1"/>
    <col min="10793" max="10794" width="8.7109375" style="51" bestFit="1" customWidth="1"/>
    <col min="10795" max="11028" width="9.140625" style="51"/>
    <col min="11029" max="11029" width="1.140625" style="51" customWidth="1"/>
    <col min="11030" max="11030" width="7.5703125" style="51" customWidth="1"/>
    <col min="11031" max="11045" width="7.140625" style="51" customWidth="1"/>
    <col min="11046" max="11047" width="1.42578125" style="51" customWidth="1"/>
    <col min="11048" max="11048" width="6.42578125" style="51" customWidth="1"/>
    <col min="11049" max="11050" width="8.7109375" style="51" bestFit="1" customWidth="1"/>
    <col min="11051" max="11284" width="9.140625" style="51"/>
    <col min="11285" max="11285" width="1.140625" style="51" customWidth="1"/>
    <col min="11286" max="11286" width="7.5703125" style="51" customWidth="1"/>
    <col min="11287" max="11301" width="7.140625" style="51" customWidth="1"/>
    <col min="11302" max="11303" width="1.42578125" style="51" customWidth="1"/>
    <col min="11304" max="11304" width="6.42578125" style="51" customWidth="1"/>
    <col min="11305" max="11306" width="8.7109375" style="51" bestFit="1" customWidth="1"/>
    <col min="11307" max="11540" width="9.140625" style="51"/>
    <col min="11541" max="11541" width="1.140625" style="51" customWidth="1"/>
    <col min="11542" max="11542" width="7.5703125" style="51" customWidth="1"/>
    <col min="11543" max="11557" width="7.140625" style="51" customWidth="1"/>
    <col min="11558" max="11559" width="1.42578125" style="51" customWidth="1"/>
    <col min="11560" max="11560" width="6.42578125" style="51" customWidth="1"/>
    <col min="11561" max="11562" width="8.7109375" style="51" bestFit="1" customWidth="1"/>
    <col min="11563" max="11796" width="9.140625" style="51"/>
    <col min="11797" max="11797" width="1.140625" style="51" customWidth="1"/>
    <col min="11798" max="11798" width="7.5703125" style="51" customWidth="1"/>
    <col min="11799" max="11813" width="7.140625" style="51" customWidth="1"/>
    <col min="11814" max="11815" width="1.42578125" style="51" customWidth="1"/>
    <col min="11816" max="11816" width="6.42578125" style="51" customWidth="1"/>
    <col min="11817" max="11818" width="8.7109375" style="51" bestFit="1" customWidth="1"/>
    <col min="11819" max="12052" width="9.140625" style="51"/>
    <col min="12053" max="12053" width="1.140625" style="51" customWidth="1"/>
    <col min="12054" max="12054" width="7.5703125" style="51" customWidth="1"/>
    <col min="12055" max="12069" width="7.140625" style="51" customWidth="1"/>
    <col min="12070" max="12071" width="1.42578125" style="51" customWidth="1"/>
    <col min="12072" max="12072" width="6.42578125" style="51" customWidth="1"/>
    <col min="12073" max="12074" width="8.7109375" style="51" bestFit="1" customWidth="1"/>
    <col min="12075" max="12308" width="9.140625" style="51"/>
    <col min="12309" max="12309" width="1.140625" style="51" customWidth="1"/>
    <col min="12310" max="12310" width="7.5703125" style="51" customWidth="1"/>
    <col min="12311" max="12325" width="7.140625" style="51" customWidth="1"/>
    <col min="12326" max="12327" width="1.42578125" style="51" customWidth="1"/>
    <col min="12328" max="12328" width="6.42578125" style="51" customWidth="1"/>
    <col min="12329" max="12330" width="8.7109375" style="51" bestFit="1" customWidth="1"/>
    <col min="12331" max="12564" width="9.140625" style="51"/>
    <col min="12565" max="12565" width="1.140625" style="51" customWidth="1"/>
    <col min="12566" max="12566" width="7.5703125" style="51" customWidth="1"/>
    <col min="12567" max="12581" width="7.140625" style="51" customWidth="1"/>
    <col min="12582" max="12583" width="1.42578125" style="51" customWidth="1"/>
    <col min="12584" max="12584" width="6.42578125" style="51" customWidth="1"/>
    <col min="12585" max="12586" width="8.7109375" style="51" bestFit="1" customWidth="1"/>
    <col min="12587" max="12820" width="9.140625" style="51"/>
    <col min="12821" max="12821" width="1.140625" style="51" customWidth="1"/>
    <col min="12822" max="12822" width="7.5703125" style="51" customWidth="1"/>
    <col min="12823" max="12837" width="7.140625" style="51" customWidth="1"/>
    <col min="12838" max="12839" width="1.42578125" style="51" customWidth="1"/>
    <col min="12840" max="12840" width="6.42578125" style="51" customWidth="1"/>
    <col min="12841" max="12842" width="8.7109375" style="51" bestFit="1" customWidth="1"/>
    <col min="12843" max="13076" width="9.140625" style="51"/>
    <col min="13077" max="13077" width="1.140625" style="51" customWidth="1"/>
    <col min="13078" max="13078" width="7.5703125" style="51" customWidth="1"/>
    <col min="13079" max="13093" width="7.140625" style="51" customWidth="1"/>
    <col min="13094" max="13095" width="1.42578125" style="51" customWidth="1"/>
    <col min="13096" max="13096" width="6.42578125" style="51" customWidth="1"/>
    <col min="13097" max="13098" width="8.7109375" style="51" bestFit="1" customWidth="1"/>
    <col min="13099" max="13332" width="9.140625" style="51"/>
    <col min="13333" max="13333" width="1.140625" style="51" customWidth="1"/>
    <col min="13334" max="13334" width="7.5703125" style="51" customWidth="1"/>
    <col min="13335" max="13349" width="7.140625" style="51" customWidth="1"/>
    <col min="13350" max="13351" width="1.42578125" style="51" customWidth="1"/>
    <col min="13352" max="13352" width="6.42578125" style="51" customWidth="1"/>
    <col min="13353" max="13354" width="8.7109375" style="51" bestFit="1" customWidth="1"/>
    <col min="13355" max="13588" width="9.140625" style="51"/>
    <col min="13589" max="13589" width="1.140625" style="51" customWidth="1"/>
    <col min="13590" max="13590" width="7.5703125" style="51" customWidth="1"/>
    <col min="13591" max="13605" width="7.140625" style="51" customWidth="1"/>
    <col min="13606" max="13607" width="1.42578125" style="51" customWidth="1"/>
    <col min="13608" max="13608" width="6.42578125" style="51" customWidth="1"/>
    <col min="13609" max="13610" width="8.7109375" style="51" bestFit="1" customWidth="1"/>
    <col min="13611" max="13844" width="9.140625" style="51"/>
    <col min="13845" max="13845" width="1.140625" style="51" customWidth="1"/>
    <col min="13846" max="13846" width="7.5703125" style="51" customWidth="1"/>
    <col min="13847" max="13861" width="7.140625" style="51" customWidth="1"/>
    <col min="13862" max="13863" width="1.42578125" style="51" customWidth="1"/>
    <col min="13864" max="13864" width="6.42578125" style="51" customWidth="1"/>
    <col min="13865" max="13866" width="8.7109375" style="51" bestFit="1" customWidth="1"/>
    <col min="13867" max="14100" width="9.140625" style="51"/>
    <col min="14101" max="14101" width="1.140625" style="51" customWidth="1"/>
    <col min="14102" max="14102" width="7.5703125" style="51" customWidth="1"/>
    <col min="14103" max="14117" width="7.140625" style="51" customWidth="1"/>
    <col min="14118" max="14119" width="1.42578125" style="51" customWidth="1"/>
    <col min="14120" max="14120" width="6.42578125" style="51" customWidth="1"/>
    <col min="14121" max="14122" width="8.7109375" style="51" bestFit="1" customWidth="1"/>
    <col min="14123" max="14356" width="9.140625" style="51"/>
    <col min="14357" max="14357" width="1.140625" style="51" customWidth="1"/>
    <col min="14358" max="14358" width="7.5703125" style="51" customWidth="1"/>
    <col min="14359" max="14373" width="7.140625" style="51" customWidth="1"/>
    <col min="14374" max="14375" width="1.42578125" style="51" customWidth="1"/>
    <col min="14376" max="14376" width="6.42578125" style="51" customWidth="1"/>
    <col min="14377" max="14378" width="8.7109375" style="51" bestFit="1" customWidth="1"/>
    <col min="14379" max="14612" width="9.140625" style="51"/>
    <col min="14613" max="14613" width="1.140625" style="51" customWidth="1"/>
    <col min="14614" max="14614" width="7.5703125" style="51" customWidth="1"/>
    <col min="14615" max="14629" width="7.140625" style="51" customWidth="1"/>
    <col min="14630" max="14631" width="1.42578125" style="51" customWidth="1"/>
    <col min="14632" max="14632" width="6.42578125" style="51" customWidth="1"/>
    <col min="14633" max="14634" width="8.7109375" style="51" bestFit="1" customWidth="1"/>
    <col min="14635" max="14868" width="9.140625" style="51"/>
    <col min="14869" max="14869" width="1.140625" style="51" customWidth="1"/>
    <col min="14870" max="14870" width="7.5703125" style="51" customWidth="1"/>
    <col min="14871" max="14885" width="7.140625" style="51" customWidth="1"/>
    <col min="14886" max="14887" width="1.42578125" style="51" customWidth="1"/>
    <col min="14888" max="14888" width="6.42578125" style="51" customWidth="1"/>
    <col min="14889" max="14890" width="8.7109375" style="51" bestFit="1" customWidth="1"/>
    <col min="14891" max="15124" width="9.140625" style="51"/>
    <col min="15125" max="15125" width="1.140625" style="51" customWidth="1"/>
    <col min="15126" max="15126" width="7.5703125" style="51" customWidth="1"/>
    <col min="15127" max="15141" width="7.140625" style="51" customWidth="1"/>
    <col min="15142" max="15143" width="1.42578125" style="51" customWidth="1"/>
    <col min="15144" max="15144" width="6.42578125" style="51" customWidth="1"/>
    <col min="15145" max="15146" width="8.7109375" style="51" bestFit="1" customWidth="1"/>
    <col min="15147" max="15380" width="9.140625" style="51"/>
    <col min="15381" max="15381" width="1.140625" style="51" customWidth="1"/>
    <col min="15382" max="15382" width="7.5703125" style="51" customWidth="1"/>
    <col min="15383" max="15397" width="7.140625" style="51" customWidth="1"/>
    <col min="15398" max="15399" width="1.42578125" style="51" customWidth="1"/>
    <col min="15400" max="15400" width="6.42578125" style="51" customWidth="1"/>
    <col min="15401" max="15402" width="8.7109375" style="51" bestFit="1" customWidth="1"/>
    <col min="15403" max="15636" width="9.140625" style="51"/>
    <col min="15637" max="15637" width="1.140625" style="51" customWidth="1"/>
    <col min="15638" max="15638" width="7.5703125" style="51" customWidth="1"/>
    <col min="15639" max="15653" width="7.140625" style="51" customWidth="1"/>
    <col min="15654" max="15655" width="1.42578125" style="51" customWidth="1"/>
    <col min="15656" max="15656" width="6.42578125" style="51" customWidth="1"/>
    <col min="15657" max="15658" width="8.7109375" style="51" bestFit="1" customWidth="1"/>
    <col min="15659" max="15892" width="9.140625" style="51"/>
    <col min="15893" max="15893" width="1.140625" style="51" customWidth="1"/>
    <col min="15894" max="15894" width="7.5703125" style="51" customWidth="1"/>
    <col min="15895" max="15909" width="7.140625" style="51" customWidth="1"/>
    <col min="15910" max="15911" width="1.42578125" style="51" customWidth="1"/>
    <col min="15912" max="15912" width="6.42578125" style="51" customWidth="1"/>
    <col min="15913" max="15914" width="8.7109375" style="51" bestFit="1" customWidth="1"/>
    <col min="15915" max="16148" width="9.140625" style="51"/>
    <col min="16149" max="16149" width="1.140625" style="51" customWidth="1"/>
    <col min="16150" max="16150" width="7.5703125" style="51" customWidth="1"/>
    <col min="16151" max="16165" width="7.140625" style="51" customWidth="1"/>
    <col min="16166" max="16167" width="1.42578125" style="51" customWidth="1"/>
    <col min="16168" max="16168" width="6.42578125" style="51" customWidth="1"/>
    <col min="16169" max="16170" width="8.7109375" style="51" bestFit="1" customWidth="1"/>
    <col min="16171" max="16384" width="9.140625" style="51"/>
  </cols>
  <sheetData>
    <row r="1" spans="1:50" ht="18" customHeight="1"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50" ht="33" customHeight="1">
      <c r="B2" s="462" t="s">
        <v>43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</row>
    <row r="3" spans="1:50" ht="9.75" customHeight="1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5"/>
      <c r="AE3" s="55"/>
      <c r="AF3" s="55"/>
      <c r="AG3" s="55"/>
      <c r="AH3" s="56"/>
      <c r="AI3" s="56"/>
      <c r="AJ3" s="57"/>
      <c r="AK3" s="57"/>
      <c r="AO3" s="58"/>
    </row>
    <row r="4" spans="1:50" ht="9.75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5"/>
      <c r="AE4" s="55"/>
      <c r="AF4" s="55"/>
      <c r="AG4" s="55"/>
      <c r="AH4" s="56"/>
      <c r="AI4" s="56"/>
      <c r="AJ4" s="57"/>
      <c r="AK4" s="57"/>
      <c r="AO4" s="58"/>
    </row>
    <row r="5" spans="1:50" s="121" customFormat="1" ht="18" customHeight="1">
      <c r="B5" s="463" t="s">
        <v>16</v>
      </c>
      <c r="C5" s="463"/>
      <c r="D5" s="59" t="s">
        <v>17</v>
      </c>
      <c r="E5" s="346">
        <v>90</v>
      </c>
      <c r="F5" s="346"/>
      <c r="G5" s="60" t="s">
        <v>18</v>
      </c>
      <c r="H5" s="59" t="s">
        <v>19</v>
      </c>
      <c r="I5" s="346">
        <v>8</v>
      </c>
      <c r="J5" s="346"/>
      <c r="K5" s="347" t="s">
        <v>20</v>
      </c>
      <c r="L5" s="347"/>
      <c r="Q5" s="384" t="s">
        <v>25</v>
      </c>
      <c r="R5" s="385"/>
      <c r="X5" s="124"/>
      <c r="AD5" s="125"/>
      <c r="AH5" s="25"/>
      <c r="AI5" s="61">
        <v>0.2</v>
      </c>
      <c r="AJ5" s="26"/>
      <c r="AK5" s="26"/>
      <c r="AL5" s="26"/>
      <c r="AM5" s="26"/>
    </row>
    <row r="6" spans="1:50" s="121" customFormat="1" ht="18" customHeight="1">
      <c r="B6" s="124" t="s">
        <v>23</v>
      </c>
      <c r="C6" s="124"/>
      <c r="D6" s="361">
        <v>60</v>
      </c>
      <c r="E6" s="361"/>
      <c r="F6" s="124"/>
      <c r="Q6" s="33">
        <v>0.2</v>
      </c>
      <c r="R6" s="34">
        <v>1.1000000000000001</v>
      </c>
      <c r="AH6" s="25"/>
      <c r="AI6" s="61">
        <v>0.25</v>
      </c>
      <c r="AJ6" s="28"/>
      <c r="AK6" s="28"/>
      <c r="AL6" s="28"/>
      <c r="AM6" s="28"/>
    </row>
    <row r="7" spans="1:50" s="121" customFormat="1" ht="18" customHeight="1">
      <c r="B7" s="29" t="s">
        <v>26</v>
      </c>
      <c r="D7" s="361">
        <v>16</v>
      </c>
      <c r="E7" s="361"/>
      <c r="F7" s="27"/>
      <c r="G7" s="124" t="s">
        <v>21</v>
      </c>
      <c r="H7" s="124"/>
      <c r="I7" s="62">
        <f>(E5-(3*I9))+(0.866025*I5)</f>
        <v>83.07179353944899</v>
      </c>
      <c r="J7" s="124" t="s">
        <v>22</v>
      </c>
      <c r="K7" s="124"/>
      <c r="N7" s="123"/>
      <c r="O7" s="123"/>
      <c r="P7" s="32"/>
      <c r="Q7" s="33">
        <v>0.25</v>
      </c>
      <c r="R7" s="34">
        <v>1.35</v>
      </c>
      <c r="AD7" s="125"/>
      <c r="AH7" s="25"/>
      <c r="AI7" s="61">
        <v>0.28000000000000003</v>
      </c>
      <c r="AJ7" s="28"/>
      <c r="AK7" s="28"/>
      <c r="AL7" s="28"/>
      <c r="AM7" s="28"/>
    </row>
    <row r="8" spans="1:50" ht="18" customHeight="1">
      <c r="B8" s="54"/>
      <c r="C8" s="54"/>
      <c r="D8" s="54"/>
      <c r="E8" s="54"/>
      <c r="F8" s="54"/>
      <c r="G8" s="464" t="s">
        <v>24</v>
      </c>
      <c r="H8" s="464"/>
      <c r="I8" s="122">
        <v>4</v>
      </c>
      <c r="J8" s="120" t="s">
        <v>22</v>
      </c>
      <c r="K8" s="120"/>
      <c r="N8" s="54"/>
      <c r="O8" s="54"/>
      <c r="P8" s="54"/>
      <c r="Q8" s="33">
        <v>0.28000000000000003</v>
      </c>
      <c r="R8" s="34">
        <v>1.65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5"/>
      <c r="AE8" s="55"/>
      <c r="AF8" s="55"/>
      <c r="AG8" s="55"/>
      <c r="AH8" s="56"/>
      <c r="AI8" s="56"/>
      <c r="AJ8" s="57"/>
      <c r="AK8" s="57"/>
      <c r="AO8" s="58"/>
    </row>
    <row r="9" spans="1:50" ht="18" customHeight="1">
      <c r="B9" s="54"/>
      <c r="C9" s="54"/>
      <c r="D9" s="54"/>
      <c r="E9" s="54"/>
      <c r="F9" s="54"/>
      <c r="G9" s="463" t="s">
        <v>27</v>
      </c>
      <c r="H9" s="463"/>
      <c r="I9" s="119">
        <f>1/(COS(([4]Data!H20/2)*PI()/180))*(I5/2)</f>
        <v>4.6188021535170058</v>
      </c>
      <c r="J9" s="120" t="s">
        <v>22</v>
      </c>
      <c r="K9" s="120"/>
      <c r="N9" s="54"/>
      <c r="O9" s="54"/>
      <c r="P9" s="54"/>
      <c r="Q9" s="33">
        <v>0.45500000000000002</v>
      </c>
      <c r="R9" s="34">
        <v>2.0499999999999998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5"/>
      <c r="AF9" s="55"/>
      <c r="AG9" s="55"/>
      <c r="AH9" s="56"/>
      <c r="AI9" s="56"/>
      <c r="AJ9" s="57"/>
      <c r="AK9" s="57"/>
      <c r="AO9" s="58"/>
    </row>
    <row r="10" spans="1:50" ht="18" customHeight="1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4">
        <v>0.53</v>
      </c>
      <c r="R10" s="34">
        <v>2.5499999999999998</v>
      </c>
      <c r="S10" s="52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7"/>
      <c r="AE10" s="57"/>
      <c r="AF10" s="57"/>
      <c r="AG10" s="57"/>
      <c r="AL10" s="57" t="s">
        <v>44</v>
      </c>
    </row>
    <row r="11" spans="1:50" ht="18" customHeight="1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7" t="s">
        <v>44</v>
      </c>
      <c r="P11" s="54"/>
      <c r="Q11" s="39">
        <v>0.62</v>
      </c>
      <c r="R11" s="34">
        <v>3.2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7"/>
      <c r="AE11" s="57"/>
      <c r="AF11" s="57"/>
      <c r="AG11" s="57"/>
      <c r="AL11" s="57"/>
    </row>
    <row r="12" spans="1:50" ht="21.75">
      <c r="B12" s="465" t="s">
        <v>45</v>
      </c>
      <c r="C12" s="467" t="s">
        <v>46</v>
      </c>
      <c r="D12" s="468"/>
      <c r="E12" s="469"/>
      <c r="F12" s="473" t="s">
        <v>47</v>
      </c>
      <c r="G12" s="474"/>
      <c r="H12" s="475" t="s">
        <v>48</v>
      </c>
      <c r="I12" s="476"/>
      <c r="J12" s="477" t="s">
        <v>49</v>
      </c>
      <c r="K12" s="478"/>
      <c r="L12" s="481" t="s">
        <v>50</v>
      </c>
      <c r="M12" s="483" t="s">
        <v>51</v>
      </c>
      <c r="N12" s="484"/>
      <c r="O12" s="485" t="s">
        <v>52</v>
      </c>
      <c r="Q12" s="39">
        <v>0.72499999999999998</v>
      </c>
      <c r="R12" s="33">
        <v>4</v>
      </c>
      <c r="AV12" s="66"/>
      <c r="AW12" s="66"/>
      <c r="AX12" s="66"/>
    </row>
    <row r="13" spans="1:50" ht="18" customHeight="1">
      <c r="B13" s="466"/>
      <c r="C13" s="470"/>
      <c r="D13" s="471"/>
      <c r="E13" s="472"/>
      <c r="F13" s="487" t="s">
        <v>53</v>
      </c>
      <c r="G13" s="488"/>
      <c r="H13" s="489" t="s">
        <v>54</v>
      </c>
      <c r="I13" s="490"/>
      <c r="J13" s="479"/>
      <c r="K13" s="480"/>
      <c r="L13" s="482"/>
      <c r="M13" s="491" t="s">
        <v>53</v>
      </c>
      <c r="N13" s="492"/>
      <c r="O13" s="486"/>
      <c r="Q13" s="34">
        <v>0.89500000000000002</v>
      </c>
      <c r="R13" s="40"/>
      <c r="AV13" s="66"/>
      <c r="AW13" s="66"/>
      <c r="AX13" s="66"/>
    </row>
    <row r="14" spans="1:50" ht="18" customHeight="1">
      <c r="B14" s="67" t="s">
        <v>55</v>
      </c>
      <c r="C14" s="495" t="s">
        <v>33</v>
      </c>
      <c r="D14" s="496"/>
      <c r="E14" s="497"/>
      <c r="F14" s="504">
        <f>[4]Data!AF26</f>
        <v>1.9999999999242846E-5</v>
      </c>
      <c r="G14" s="505"/>
      <c r="H14" s="500" t="s">
        <v>56</v>
      </c>
      <c r="I14" s="501"/>
      <c r="J14" s="500">
        <v>1</v>
      </c>
      <c r="K14" s="501"/>
      <c r="L14" s="67">
        <v>1</v>
      </c>
      <c r="M14" s="502">
        <f>F14/J14</f>
        <v>1.9999999999242846E-5</v>
      </c>
      <c r="N14" s="503"/>
      <c r="O14" s="68">
        <v>2</v>
      </c>
      <c r="AO14" s="69"/>
      <c r="AV14" s="66"/>
      <c r="AW14" s="66"/>
      <c r="AX14" s="66"/>
    </row>
    <row r="15" spans="1:50" ht="18" customHeight="1">
      <c r="B15" s="70" t="s">
        <v>57</v>
      </c>
      <c r="C15" s="495" t="s">
        <v>58</v>
      </c>
      <c r="D15" s="496"/>
      <c r="E15" s="497"/>
      <c r="F15" s="498">
        <f>'[4]Cert of STD'!AD6</f>
        <v>2E-3</v>
      </c>
      <c r="G15" s="499"/>
      <c r="H15" s="500" t="s">
        <v>56</v>
      </c>
      <c r="I15" s="501"/>
      <c r="J15" s="500">
        <v>2</v>
      </c>
      <c r="K15" s="501"/>
      <c r="L15" s="67">
        <v>1</v>
      </c>
      <c r="M15" s="502">
        <f>F15/2</f>
        <v>1E-3</v>
      </c>
      <c r="N15" s="503"/>
      <c r="O15" s="71"/>
      <c r="Q15" s="7"/>
      <c r="R15" s="506" t="s">
        <v>149</v>
      </c>
      <c r="S15" s="493" t="s">
        <v>150</v>
      </c>
      <c r="T15" s="494"/>
      <c r="U15" s="7"/>
      <c r="V15" s="7"/>
      <c r="W15" s="7"/>
      <c r="X15" s="7"/>
      <c r="AO15" s="69"/>
      <c r="AV15" s="66"/>
      <c r="AW15" s="66"/>
      <c r="AX15" s="66"/>
    </row>
    <row r="16" spans="1:50" ht="18" customHeight="1">
      <c r="A16" s="66"/>
      <c r="B16" s="70" t="s">
        <v>59</v>
      </c>
      <c r="C16" s="495" t="s">
        <v>60</v>
      </c>
      <c r="D16" s="496"/>
      <c r="E16" s="497"/>
      <c r="F16" s="498">
        <f>'[4]Cert of STD'!F20</f>
        <v>3.8999999999999999E-4</v>
      </c>
      <c r="G16" s="499"/>
      <c r="H16" s="500" t="s">
        <v>56</v>
      </c>
      <c r="I16" s="501"/>
      <c r="J16" s="500">
        <v>2</v>
      </c>
      <c r="K16" s="501"/>
      <c r="L16" s="67">
        <v>1</v>
      </c>
      <c r="M16" s="502">
        <f>F16/J16</f>
        <v>1.95E-4</v>
      </c>
      <c r="N16" s="503"/>
      <c r="O16" s="71"/>
      <c r="Q16" s="7"/>
      <c r="R16" s="506"/>
      <c r="S16" s="494"/>
      <c r="T16" s="494"/>
      <c r="U16" s="7"/>
      <c r="V16" s="7"/>
      <c r="W16" s="7"/>
      <c r="X16" s="7"/>
      <c r="AO16" s="69"/>
      <c r="AV16" s="66"/>
      <c r="AW16" s="66"/>
      <c r="AX16" s="66"/>
    </row>
    <row r="17" spans="1:50" ht="18" customHeight="1">
      <c r="A17" s="66"/>
      <c r="B17" s="70" t="s">
        <v>61</v>
      </c>
      <c r="C17" s="495" t="s">
        <v>62</v>
      </c>
      <c r="D17" s="496"/>
      <c r="E17" s="497"/>
      <c r="F17" s="507">
        <f>(V19*1000)*2</f>
        <v>3.2646773226384932E-4</v>
      </c>
      <c r="G17" s="508"/>
      <c r="H17" s="500" t="s">
        <v>63</v>
      </c>
      <c r="I17" s="501"/>
      <c r="J17" s="509" t="s">
        <v>64</v>
      </c>
      <c r="K17" s="510"/>
      <c r="L17" s="67">
        <v>1</v>
      </c>
      <c r="M17" s="511">
        <f>F17/SQRT(3)</f>
        <v>1.8848623310426009E-4</v>
      </c>
      <c r="N17" s="512"/>
      <c r="O17" s="71"/>
      <c r="Q17" s="7"/>
      <c r="R17" s="7"/>
      <c r="S17" s="493" t="s">
        <v>151</v>
      </c>
      <c r="T17" s="494" t="s">
        <v>152</v>
      </c>
      <c r="U17" s="494"/>
      <c r="V17" s="494"/>
      <c r="W17" s="7"/>
      <c r="X17" s="7"/>
      <c r="AO17" s="69"/>
      <c r="AV17" s="66"/>
      <c r="AW17" s="66"/>
      <c r="AX17" s="66"/>
    </row>
    <row r="18" spans="1:50" s="66" customFormat="1" ht="18" customHeight="1">
      <c r="B18" s="70" t="s">
        <v>65</v>
      </c>
      <c r="C18" s="495" t="s">
        <v>153</v>
      </c>
      <c r="D18" s="496"/>
      <c r="E18" s="497"/>
      <c r="F18" s="513">
        <v>1.0000000000000001E-5</v>
      </c>
      <c r="G18" s="514"/>
      <c r="H18" s="500" t="s">
        <v>63</v>
      </c>
      <c r="I18" s="501"/>
      <c r="J18" s="509" t="s">
        <v>69</v>
      </c>
      <c r="K18" s="510"/>
      <c r="L18" s="67">
        <v>1</v>
      </c>
      <c r="M18" s="502">
        <f>(F18/2)/SQRT(3)</f>
        <v>2.8867513459481293E-6</v>
      </c>
      <c r="N18" s="503"/>
      <c r="O18" s="71"/>
      <c r="Q18" s="7"/>
      <c r="R18" s="7"/>
      <c r="S18" s="494"/>
      <c r="T18" s="494"/>
      <c r="U18" s="494"/>
      <c r="V18" s="494"/>
      <c r="W18" s="7"/>
      <c r="X18" s="7"/>
      <c r="AO18" s="72"/>
    </row>
    <row r="19" spans="1:50" s="66" customFormat="1" ht="18" customHeight="1">
      <c r="B19" s="70" t="s">
        <v>67</v>
      </c>
      <c r="C19" s="495" t="s">
        <v>73</v>
      </c>
      <c r="D19" s="496"/>
      <c r="E19" s="497"/>
      <c r="F19" s="498">
        <f>(COS((D6/2)*PI()/180)/(SIN((D6/2)*PI()/180))^2)*((I8/1000)-(I9/1000))</f>
        <v>-2.1435935394489799E-3</v>
      </c>
      <c r="G19" s="499"/>
      <c r="H19" s="500" t="s">
        <v>63</v>
      </c>
      <c r="I19" s="501"/>
      <c r="J19" s="509" t="s">
        <v>64</v>
      </c>
      <c r="K19" s="510"/>
      <c r="L19" s="67">
        <v>1</v>
      </c>
      <c r="M19" s="511">
        <f>F19*((2*3.14)/360)*(15/60)*(1/SQRT(3))*1000</f>
        <v>-5.3973298945649952E-3</v>
      </c>
      <c r="N19" s="512"/>
      <c r="O19" s="71"/>
      <c r="Q19" s="7"/>
      <c r="R19" s="8" t="s">
        <v>154</v>
      </c>
      <c r="S19" s="255">
        <f>((((9*V21^2)/(8*(T22/1000)))*(((1-W23^2)/(4*10^11))+((1-U23^2)/(2*10^11)))^2)^(1/3))</f>
        <v>8.1616933065962311E-8</v>
      </c>
      <c r="T19" s="8"/>
      <c r="U19" s="256" t="s">
        <v>155</v>
      </c>
      <c r="V19" s="257">
        <f>(SIN((60/2)*PI()/180)^(-5/3))*(0.5^(2/3))*S19</f>
        <v>1.6323386613192465E-7</v>
      </c>
      <c r="W19" s="7"/>
      <c r="X19" s="7"/>
      <c r="AO19" s="72"/>
      <c r="AV19" s="51"/>
      <c r="AW19" s="51"/>
      <c r="AX19" s="51"/>
    </row>
    <row r="20" spans="1:50" s="66" customFormat="1" ht="18" customHeight="1">
      <c r="B20" s="70" t="s">
        <v>70</v>
      </c>
      <c r="C20" s="495" t="s">
        <v>75</v>
      </c>
      <c r="D20" s="496"/>
      <c r="E20" s="497"/>
      <c r="F20" s="517">
        <v>2.0000000000000002E-5</v>
      </c>
      <c r="G20" s="518"/>
      <c r="H20" s="500" t="s">
        <v>63</v>
      </c>
      <c r="I20" s="501"/>
      <c r="J20" s="509" t="s">
        <v>64</v>
      </c>
      <c r="K20" s="510"/>
      <c r="L20" s="67">
        <v>1</v>
      </c>
      <c r="M20" s="519">
        <f>F20/SQRT(3)</f>
        <v>1.1547005383792517E-5</v>
      </c>
      <c r="N20" s="520"/>
      <c r="O20" s="71"/>
      <c r="Q20" s="7"/>
      <c r="R20" s="7"/>
      <c r="S20" s="8"/>
      <c r="T20" s="8"/>
      <c r="U20" s="8"/>
      <c r="V20" s="8"/>
      <c r="W20" s="7"/>
      <c r="X20" s="7"/>
      <c r="AO20" s="72"/>
      <c r="AV20" s="51"/>
      <c r="AW20" s="51"/>
      <c r="AX20" s="51"/>
    </row>
    <row r="21" spans="1:50" s="66" customFormat="1" ht="18" customHeight="1">
      <c r="B21" s="70" t="s">
        <v>72</v>
      </c>
      <c r="C21" s="495" t="s">
        <v>77</v>
      </c>
      <c r="D21" s="496"/>
      <c r="E21" s="497"/>
      <c r="F21" s="498">
        <f>((I5)*(11.5*10^-6)*1)</f>
        <v>9.2E-5</v>
      </c>
      <c r="G21" s="499"/>
      <c r="H21" s="500" t="s">
        <v>63</v>
      </c>
      <c r="I21" s="501"/>
      <c r="J21" s="509" t="s">
        <v>64</v>
      </c>
      <c r="K21" s="510"/>
      <c r="L21" s="67">
        <v>1</v>
      </c>
      <c r="M21" s="515">
        <f>F21/SQRT(3)</f>
        <v>5.3116224765445572E-5</v>
      </c>
      <c r="N21" s="516"/>
      <c r="O21" s="71"/>
      <c r="Q21" s="258" t="s">
        <v>156</v>
      </c>
      <c r="R21" s="7" t="s">
        <v>157</v>
      </c>
      <c r="S21" s="7"/>
      <c r="T21" s="7"/>
      <c r="U21" s="7"/>
      <c r="V21" s="7">
        <v>0.2</v>
      </c>
      <c r="W21" s="7"/>
      <c r="X21" s="259"/>
      <c r="AO21" s="72"/>
      <c r="AV21" s="51"/>
      <c r="AW21" s="51"/>
      <c r="AX21" s="51"/>
    </row>
    <row r="22" spans="1:50" s="66" customFormat="1" ht="18" customHeight="1">
      <c r="B22" s="70" t="s">
        <v>78</v>
      </c>
      <c r="C22" s="495" t="s">
        <v>79</v>
      </c>
      <c r="D22" s="496"/>
      <c r="E22" s="497"/>
      <c r="F22" s="500"/>
      <c r="G22" s="501"/>
      <c r="H22" s="500" t="s">
        <v>56</v>
      </c>
      <c r="I22" s="501"/>
      <c r="J22" s="521"/>
      <c r="K22" s="522"/>
      <c r="L22" s="73"/>
      <c r="M22" s="511">
        <f>SQRT(M14^2+M15^2+M16^2+M17^2+M18^2+M19^2+M20^2+M21^2)</f>
        <v>5.4961882292034704E-3</v>
      </c>
      <c r="N22" s="512"/>
      <c r="O22" s="71">
        <f>(M22^4)/(((IF(M14&lt;=0,0.001,M14)^4)/9))</f>
        <v>51329722644.936707</v>
      </c>
      <c r="Q22" s="260" t="s">
        <v>158</v>
      </c>
      <c r="R22" s="7" t="s">
        <v>159</v>
      </c>
      <c r="S22" s="7"/>
      <c r="T22" s="7">
        <f>I8</f>
        <v>4</v>
      </c>
      <c r="U22" s="7"/>
      <c r="V22" s="7"/>
      <c r="W22" s="7"/>
      <c r="X22" s="7"/>
      <c r="AO22" s="72"/>
      <c r="AV22" s="51"/>
      <c r="AW22" s="51"/>
      <c r="AX22" s="51"/>
    </row>
    <row r="23" spans="1:50" s="66" customFormat="1" ht="18" customHeight="1">
      <c r="B23" s="70" t="s">
        <v>80</v>
      </c>
      <c r="C23" s="495" t="s">
        <v>81</v>
      </c>
      <c r="D23" s="496"/>
      <c r="E23" s="497"/>
      <c r="F23" s="500"/>
      <c r="G23" s="501"/>
      <c r="H23" s="500" t="s">
        <v>82</v>
      </c>
      <c r="I23" s="501"/>
      <c r="J23" s="521"/>
      <c r="K23" s="522"/>
      <c r="L23" s="73"/>
      <c r="M23" s="523">
        <f>M22*O23*1000</f>
        <v>10.992376458406941</v>
      </c>
      <c r="N23" s="524"/>
      <c r="O23" s="74" t="str">
        <f>IF(O22&gt;0,"2.00",TINV(0.0455,O22))</f>
        <v>2.00</v>
      </c>
      <c r="Q23" s="258" t="s">
        <v>160</v>
      </c>
      <c r="R23" s="7" t="s">
        <v>161</v>
      </c>
      <c r="S23" s="7"/>
      <c r="T23" s="258" t="s">
        <v>162</v>
      </c>
      <c r="U23" s="261">
        <v>0.28000000000000003</v>
      </c>
      <c r="V23" s="258" t="s">
        <v>163</v>
      </c>
      <c r="W23" s="261">
        <v>0.25</v>
      </c>
      <c r="X23" s="13"/>
      <c r="AO23" s="72"/>
      <c r="AV23" s="51"/>
      <c r="AW23" s="51"/>
      <c r="AX23" s="51"/>
    </row>
    <row r="24" spans="1:50" s="66" customFormat="1" ht="18" hidden="1" customHeight="1">
      <c r="B24" s="75">
        <v>25</v>
      </c>
      <c r="C24" s="76">
        <v>0</v>
      </c>
      <c r="D24" s="77">
        <f t="shared" ref="D24:D39" si="0">C24/1</f>
        <v>0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8">
        <f>'[4]Cert of STD'!J18</f>
        <v>1.2</v>
      </c>
      <c r="Q24" s="262" t="s">
        <v>164</v>
      </c>
      <c r="R24" s="263" t="s">
        <v>165</v>
      </c>
      <c r="S24" s="7"/>
      <c r="T24" s="258" t="s">
        <v>162</v>
      </c>
      <c r="U24" s="7" t="s">
        <v>166</v>
      </c>
      <c r="V24" s="258" t="s">
        <v>163</v>
      </c>
      <c r="W24" s="7" t="s">
        <v>167</v>
      </c>
      <c r="X24" s="7" t="s">
        <v>168</v>
      </c>
      <c r="Y24" s="81" t="e">
        <f>(#REF!/SQRT(3))</f>
        <v>#REF!</v>
      </c>
      <c r="Z24" s="81">
        <v>1</v>
      </c>
      <c r="AA24" s="83">
        <f t="shared" ref="AA24:AA39" si="1">Z24/SQRT(3)</f>
        <v>0.57735026918962584</v>
      </c>
      <c r="AB24" s="77" t="e">
        <f>#REF!</f>
        <v>#REF!</v>
      </c>
      <c r="AC24" s="84" t="e">
        <f t="shared" ref="AC24:AC39" si="2">AB24*((2*3.14)/360)*(15/60)*(1/SQRT(3))*10^6</f>
        <v>#REF!</v>
      </c>
      <c r="AD24" s="83" t="e">
        <f>#REF!</f>
        <v>#REF!</v>
      </c>
      <c r="AE24" s="83" t="e">
        <f t="shared" ref="AE24:AE39" si="3">AD24/SQRT(3)</f>
        <v>#REF!</v>
      </c>
      <c r="AF24" s="85">
        <f>((0.7)*(11.5*10^-6)*1)</f>
        <v>8.0499999999999992E-6</v>
      </c>
      <c r="AG24" s="77">
        <f t="shared" ref="AG24:AG39" si="4">AF24/SQRT(3)</f>
        <v>4.647669666976487E-6</v>
      </c>
      <c r="AH24" s="77" t="e">
        <f>SQRT(D24^2+#REF!^2+#REF!^2+#REF!^2+#REF!^2+Y24^2+AA24^2+AC24^2+AE24^2+AG24^2)</f>
        <v>#REF!</v>
      </c>
      <c r="AI24" s="86">
        <f t="shared" ref="AI24:AI39" si="5">D24/1</f>
        <v>0</v>
      </c>
      <c r="AJ24" s="71" t="e">
        <f t="shared" ref="AJ24:AJ39" si="6">(AH24^4)/(((IF(AI24&lt;=0,0.001,AI24)^4)/9))</f>
        <v>#REF!</v>
      </c>
      <c r="AK24" s="74" t="e">
        <f t="shared" ref="AK24:AK39" si="7">IF(AJ24&gt;0,"2.00",TINV(0.0455,AJ24))</f>
        <v>#REF!</v>
      </c>
      <c r="AL24" s="87" t="e">
        <f t="shared" ref="AL24:AL39" si="8">AH24*2</f>
        <v>#REF!</v>
      </c>
      <c r="AO24" s="72"/>
      <c r="AV24" s="51"/>
      <c r="AW24" s="51"/>
      <c r="AX24" s="51"/>
    </row>
    <row r="25" spans="1:50" s="66" customFormat="1" ht="18" hidden="1" customHeight="1">
      <c r="B25" s="75">
        <v>30</v>
      </c>
      <c r="C25" s="76">
        <v>0</v>
      </c>
      <c r="D25" s="77">
        <f t="shared" si="0"/>
        <v>0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>
        <f>'[4]Cert of STD'!J20</f>
        <v>1.4</v>
      </c>
      <c r="Q25" s="79">
        <f t="shared" ref="Q25:Q39" si="9">P25/2</f>
        <v>0.7</v>
      </c>
      <c r="R25" s="78">
        <f>'[4]Cert of STD'!D14</f>
        <v>0.27</v>
      </c>
      <c r="S25" s="79">
        <f t="shared" ref="S25:S39" si="10">R25/2</f>
        <v>0.13500000000000001</v>
      </c>
      <c r="T25" s="80" t="e">
        <f>#REF!*2</f>
        <v>#REF!</v>
      </c>
      <c r="U25" s="81" t="e">
        <f t="shared" ref="U25:U39" si="11">T25/SQRT(3)</f>
        <v>#REF!</v>
      </c>
      <c r="V25" s="82">
        <f>(1/16)*[4]Data!E29</f>
        <v>0</v>
      </c>
      <c r="W25" s="81">
        <f t="shared" ref="W25:Y39" si="12">(V25/SQRT(3))</f>
        <v>0</v>
      </c>
      <c r="X25" s="76" t="e">
        <f>#REF!</f>
        <v>#REF!</v>
      </c>
      <c r="Y25" s="81" t="e">
        <f t="shared" si="12"/>
        <v>#REF!</v>
      </c>
      <c r="Z25" s="81">
        <v>1</v>
      </c>
      <c r="AA25" s="83">
        <f t="shared" si="1"/>
        <v>0.57735026918962584</v>
      </c>
      <c r="AB25" s="77" t="e">
        <f t="shared" ref="AB25:AB29" si="13">AB24</f>
        <v>#REF!</v>
      </c>
      <c r="AC25" s="84" t="e">
        <f t="shared" si="2"/>
        <v>#REF!</v>
      </c>
      <c r="AD25" s="83" t="e">
        <f t="shared" ref="AD25:AD28" si="14">AD24</f>
        <v>#REF!</v>
      </c>
      <c r="AE25" s="83" t="e">
        <f t="shared" si="3"/>
        <v>#REF!</v>
      </c>
      <c r="AF25" s="85">
        <f>((0.75)*(11.5*10^-6)*1)</f>
        <v>8.6249999999999996E-6</v>
      </c>
      <c r="AG25" s="77">
        <f t="shared" si="4"/>
        <v>4.9796460717605226E-6</v>
      </c>
      <c r="AH25" s="77" t="e">
        <f t="shared" ref="AH25:AH39" si="15">SQRT(D25^2+Q25^2+S25^2+U25^2+W25^2+Y25^2+AA25^2+AC25^2+AE25^2+AG25^2)</f>
        <v>#REF!</v>
      </c>
      <c r="AI25" s="86">
        <f t="shared" si="5"/>
        <v>0</v>
      </c>
      <c r="AJ25" s="71" t="e">
        <f t="shared" si="6"/>
        <v>#REF!</v>
      </c>
      <c r="AK25" s="74" t="e">
        <f t="shared" si="7"/>
        <v>#REF!</v>
      </c>
      <c r="AL25" s="87" t="e">
        <f t="shared" si="8"/>
        <v>#REF!</v>
      </c>
      <c r="AO25" s="72"/>
      <c r="AV25" s="51"/>
      <c r="AW25" s="51"/>
      <c r="AX25" s="51"/>
    </row>
    <row r="26" spans="1:50" s="66" customFormat="1" ht="18" hidden="1" customHeight="1">
      <c r="B26" s="75">
        <v>75</v>
      </c>
      <c r="C26" s="76">
        <v>0</v>
      </c>
      <c r="D26" s="77">
        <f t="shared" si="0"/>
        <v>0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>
        <f>'[4]Cert of STD'!J21</f>
        <v>2.8</v>
      </c>
      <c r="Q26" s="79">
        <f t="shared" si="9"/>
        <v>1.4</v>
      </c>
      <c r="R26" s="78">
        <f>'[4]Cert of STD'!D19</f>
        <v>0.39</v>
      </c>
      <c r="S26" s="79">
        <f t="shared" si="10"/>
        <v>0.19500000000000001</v>
      </c>
      <c r="T26" s="80" t="e">
        <f>#REF!*2</f>
        <v>#REF!</v>
      </c>
      <c r="U26" s="81" t="e">
        <f t="shared" si="11"/>
        <v>#REF!</v>
      </c>
      <c r="V26" s="82">
        <f>(1/16)*[4]Data!E30</f>
        <v>0</v>
      </c>
      <c r="W26" s="81">
        <f t="shared" si="12"/>
        <v>0</v>
      </c>
      <c r="X26" s="76" t="e">
        <f t="shared" ref="X26:X29" si="16">X25</f>
        <v>#REF!</v>
      </c>
      <c r="Y26" s="81" t="e">
        <f t="shared" si="12"/>
        <v>#REF!</v>
      </c>
      <c r="Z26" s="81">
        <v>1</v>
      </c>
      <c r="AA26" s="83">
        <f t="shared" si="1"/>
        <v>0.57735026918962584</v>
      </c>
      <c r="AB26" s="77" t="e">
        <f t="shared" si="13"/>
        <v>#REF!</v>
      </c>
      <c r="AC26" s="84" t="e">
        <f t="shared" si="2"/>
        <v>#REF!</v>
      </c>
      <c r="AD26" s="83" t="e">
        <f t="shared" si="14"/>
        <v>#REF!</v>
      </c>
      <c r="AE26" s="83" t="e">
        <f t="shared" si="3"/>
        <v>#REF!</v>
      </c>
      <c r="AF26" s="85">
        <f>((0.8)*(11.5*10^-6)*1)</f>
        <v>9.2E-6</v>
      </c>
      <c r="AG26" s="77">
        <f t="shared" si="4"/>
        <v>5.3116224765445574E-6</v>
      </c>
      <c r="AH26" s="77" t="e">
        <f t="shared" si="15"/>
        <v>#REF!</v>
      </c>
      <c r="AI26" s="86">
        <f t="shared" si="5"/>
        <v>0</v>
      </c>
      <c r="AJ26" s="71" t="e">
        <f t="shared" si="6"/>
        <v>#REF!</v>
      </c>
      <c r="AK26" s="74" t="e">
        <f t="shared" si="7"/>
        <v>#REF!</v>
      </c>
      <c r="AL26" s="87" t="e">
        <f t="shared" si="8"/>
        <v>#REF!</v>
      </c>
      <c r="AO26" s="72"/>
      <c r="AV26" s="51"/>
      <c r="AW26" s="51"/>
      <c r="AX26" s="51"/>
    </row>
    <row r="27" spans="1:50" s="66" customFormat="1" ht="18" hidden="1" customHeight="1">
      <c r="B27" s="75">
        <v>90</v>
      </c>
      <c r="C27" s="76">
        <v>0</v>
      </c>
      <c r="D27" s="77">
        <f t="shared" si="0"/>
        <v>0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8">
        <f t="shared" ref="P27:P29" si="17">P26</f>
        <v>2.8</v>
      </c>
      <c r="Q27" s="79">
        <f t="shared" si="9"/>
        <v>1.4</v>
      </c>
      <c r="R27" s="78">
        <f>'[4]Cert of STD'!D20</f>
        <v>0.39</v>
      </c>
      <c r="S27" s="79">
        <f t="shared" si="10"/>
        <v>0.19500000000000001</v>
      </c>
      <c r="T27" s="80" t="e">
        <f>#REF!*2</f>
        <v>#REF!</v>
      </c>
      <c r="U27" s="81" t="e">
        <f t="shared" si="11"/>
        <v>#REF!</v>
      </c>
      <c r="V27" s="82">
        <f>(1/16)*[4]Data!E31</f>
        <v>0</v>
      </c>
      <c r="W27" s="81">
        <f t="shared" si="12"/>
        <v>0</v>
      </c>
      <c r="X27" s="76" t="e">
        <f t="shared" si="16"/>
        <v>#REF!</v>
      </c>
      <c r="Y27" s="81" t="e">
        <f t="shared" si="12"/>
        <v>#REF!</v>
      </c>
      <c r="Z27" s="81">
        <v>1</v>
      </c>
      <c r="AA27" s="83">
        <f t="shared" si="1"/>
        <v>0.57735026918962584</v>
      </c>
      <c r="AB27" s="77" t="e">
        <f t="shared" si="13"/>
        <v>#REF!</v>
      </c>
      <c r="AC27" s="84" t="e">
        <f t="shared" si="2"/>
        <v>#REF!</v>
      </c>
      <c r="AD27" s="83" t="e">
        <f t="shared" si="14"/>
        <v>#REF!</v>
      </c>
      <c r="AE27" s="83" t="e">
        <f t="shared" si="3"/>
        <v>#REF!</v>
      </c>
      <c r="AF27" s="85">
        <f>((1)*(11.5*10^-6)*1)</f>
        <v>1.15E-5</v>
      </c>
      <c r="AG27" s="77">
        <f t="shared" si="4"/>
        <v>6.6395280956806965E-6</v>
      </c>
      <c r="AH27" s="77" t="e">
        <f t="shared" si="15"/>
        <v>#REF!</v>
      </c>
      <c r="AI27" s="86">
        <f t="shared" si="5"/>
        <v>0</v>
      </c>
      <c r="AJ27" s="71" t="e">
        <f t="shared" si="6"/>
        <v>#REF!</v>
      </c>
      <c r="AK27" s="74" t="e">
        <f t="shared" si="7"/>
        <v>#REF!</v>
      </c>
      <c r="AL27" s="87" t="e">
        <f t="shared" si="8"/>
        <v>#REF!</v>
      </c>
      <c r="AV27" s="51"/>
      <c r="AW27" s="51"/>
      <c r="AX27" s="51"/>
    </row>
    <row r="28" spans="1:50" s="66" customFormat="1" ht="18" hidden="1" customHeight="1">
      <c r="B28" s="75">
        <v>100</v>
      </c>
      <c r="C28" s="76">
        <v>0</v>
      </c>
      <c r="D28" s="77">
        <f t="shared" si="0"/>
        <v>0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8">
        <f t="shared" si="17"/>
        <v>2.8</v>
      </c>
      <c r="Q28" s="79">
        <f t="shared" si="9"/>
        <v>1.4</v>
      </c>
      <c r="R28" s="78">
        <f>'[4]Cert of STD'!D21</f>
        <v>0.39</v>
      </c>
      <c r="S28" s="79">
        <f t="shared" si="10"/>
        <v>0.19500000000000001</v>
      </c>
      <c r="T28" s="80" t="e">
        <f>#REF!*2</f>
        <v>#REF!</v>
      </c>
      <c r="U28" s="81" t="e">
        <f t="shared" si="11"/>
        <v>#REF!</v>
      </c>
      <c r="V28" s="82">
        <f>(1/16)*[4]Data!E32</f>
        <v>0</v>
      </c>
      <c r="W28" s="81">
        <f t="shared" si="12"/>
        <v>0</v>
      </c>
      <c r="X28" s="76" t="e">
        <f t="shared" si="16"/>
        <v>#REF!</v>
      </c>
      <c r="Y28" s="81" t="e">
        <f t="shared" si="12"/>
        <v>#REF!</v>
      </c>
      <c r="Z28" s="81">
        <v>1</v>
      </c>
      <c r="AA28" s="83">
        <f t="shared" si="1"/>
        <v>0.57735026918962584</v>
      </c>
      <c r="AB28" s="77" t="e">
        <f t="shared" si="13"/>
        <v>#REF!</v>
      </c>
      <c r="AC28" s="84" t="e">
        <f t="shared" si="2"/>
        <v>#REF!</v>
      </c>
      <c r="AD28" s="83" t="e">
        <f t="shared" si="14"/>
        <v>#REF!</v>
      </c>
      <c r="AE28" s="83" t="e">
        <f t="shared" si="3"/>
        <v>#REF!</v>
      </c>
      <c r="AF28" s="85">
        <f>((1.25)*(11.5*10^-6)*1)</f>
        <v>1.4375E-5</v>
      </c>
      <c r="AG28" s="77">
        <f t="shared" si="4"/>
        <v>8.2994101196008704E-6</v>
      </c>
      <c r="AH28" s="77" t="e">
        <f t="shared" si="15"/>
        <v>#REF!</v>
      </c>
      <c r="AI28" s="86">
        <f t="shared" si="5"/>
        <v>0</v>
      </c>
      <c r="AJ28" s="71" t="e">
        <f t="shared" si="6"/>
        <v>#REF!</v>
      </c>
      <c r="AK28" s="74" t="e">
        <f t="shared" si="7"/>
        <v>#REF!</v>
      </c>
      <c r="AL28" s="87" t="e">
        <f t="shared" si="8"/>
        <v>#REF!</v>
      </c>
      <c r="AV28" s="51"/>
      <c r="AW28" s="51"/>
      <c r="AX28" s="51"/>
    </row>
    <row r="29" spans="1:50" s="66" customFormat="1" ht="18" hidden="1" customHeight="1">
      <c r="A29" s="51"/>
      <c r="B29" s="75">
        <v>125</v>
      </c>
      <c r="C29" s="76">
        <v>0</v>
      </c>
      <c r="D29" s="77">
        <f t="shared" si="0"/>
        <v>0</v>
      </c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8">
        <f t="shared" si="17"/>
        <v>2.8</v>
      </c>
      <c r="Q29" s="79">
        <f t="shared" si="9"/>
        <v>1.4</v>
      </c>
      <c r="R29" s="78">
        <f>'[4]Cert of STD'!D21</f>
        <v>0.39</v>
      </c>
      <c r="S29" s="79">
        <f t="shared" si="10"/>
        <v>0.19500000000000001</v>
      </c>
      <c r="T29" s="80" t="e">
        <f>#REF!*2</f>
        <v>#REF!</v>
      </c>
      <c r="U29" s="81" t="e">
        <f t="shared" si="11"/>
        <v>#REF!</v>
      </c>
      <c r="V29" s="82">
        <f>(1/16)*[4]Data!E33</f>
        <v>0</v>
      </c>
      <c r="W29" s="81">
        <f t="shared" si="12"/>
        <v>0</v>
      </c>
      <c r="X29" s="76" t="e">
        <f t="shared" si="16"/>
        <v>#REF!</v>
      </c>
      <c r="Y29" s="81" t="e">
        <f t="shared" si="12"/>
        <v>#REF!</v>
      </c>
      <c r="Z29" s="81">
        <v>1</v>
      </c>
      <c r="AA29" s="83">
        <f t="shared" si="1"/>
        <v>0.57735026918962584</v>
      </c>
      <c r="AB29" s="77" t="e">
        <f t="shared" si="13"/>
        <v>#REF!</v>
      </c>
      <c r="AC29" s="84" t="e">
        <f t="shared" si="2"/>
        <v>#REF!</v>
      </c>
      <c r="AD29" s="83" t="e">
        <f>AD28</f>
        <v>#REF!</v>
      </c>
      <c r="AE29" s="83" t="e">
        <f t="shared" si="3"/>
        <v>#REF!</v>
      </c>
      <c r="AF29" s="85">
        <f>(([4]Data!L31)*(11.5*10^-6)*1)</f>
        <v>1.15011845E-4</v>
      </c>
      <c r="AG29" s="77">
        <f t="shared" si="4"/>
        <v>6.6402119670745514E-5</v>
      </c>
      <c r="AH29" s="77" t="e">
        <f t="shared" si="15"/>
        <v>#REF!</v>
      </c>
      <c r="AI29" s="86">
        <f t="shared" si="5"/>
        <v>0</v>
      </c>
      <c r="AJ29" s="71" t="e">
        <f t="shared" si="6"/>
        <v>#REF!</v>
      </c>
      <c r="AK29" s="74" t="e">
        <f t="shared" si="7"/>
        <v>#REF!</v>
      </c>
      <c r="AL29" s="87" t="e">
        <f t="shared" si="8"/>
        <v>#REF!</v>
      </c>
      <c r="AV29" s="51"/>
      <c r="AW29" s="51"/>
      <c r="AX29" s="51"/>
    </row>
    <row r="30" spans="1:50" s="66" customFormat="1" ht="18" hidden="1" customHeight="1">
      <c r="A30" s="51"/>
      <c r="B30" s="75">
        <v>150</v>
      </c>
      <c r="C30" s="76">
        <v>0</v>
      </c>
      <c r="D30" s="77">
        <f t="shared" si="0"/>
        <v>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>
        <f>P29</f>
        <v>2.8</v>
      </c>
      <c r="Q30" s="79">
        <f t="shared" si="9"/>
        <v>1.4</v>
      </c>
      <c r="R30" s="78">
        <f>'[4]Cert of STD'!D21</f>
        <v>0.39</v>
      </c>
      <c r="S30" s="79">
        <f t="shared" si="10"/>
        <v>0.19500000000000001</v>
      </c>
      <c r="T30" s="80" t="e">
        <f>#REF!*2</f>
        <v>#REF!</v>
      </c>
      <c r="U30" s="81" t="e">
        <f t="shared" si="11"/>
        <v>#REF!</v>
      </c>
      <c r="V30" s="82">
        <f>(1/16)*[4]Data!E34</f>
        <v>0</v>
      </c>
      <c r="W30" s="81">
        <f t="shared" si="12"/>
        <v>0</v>
      </c>
      <c r="X30" s="76" t="e">
        <f>X29</f>
        <v>#REF!</v>
      </c>
      <c r="Y30" s="81" t="e">
        <f t="shared" si="12"/>
        <v>#REF!</v>
      </c>
      <c r="Z30" s="81">
        <v>1</v>
      </c>
      <c r="AA30" s="83">
        <f t="shared" si="1"/>
        <v>0.57735026918962584</v>
      </c>
      <c r="AB30" s="77" t="e">
        <f>AB29</f>
        <v>#REF!</v>
      </c>
      <c r="AC30" s="84" t="e">
        <f t="shared" si="2"/>
        <v>#REF!</v>
      </c>
      <c r="AD30" s="83" t="e">
        <f>AD29</f>
        <v>#REF!</v>
      </c>
      <c r="AE30" s="83" t="e">
        <f t="shared" si="3"/>
        <v>#REF!</v>
      </c>
      <c r="AF30" s="85">
        <f>(([4]Data!L32)*(11.5*10^-6)*1)</f>
        <v>0</v>
      </c>
      <c r="AG30" s="77">
        <f t="shared" si="4"/>
        <v>0</v>
      </c>
      <c r="AH30" s="77" t="e">
        <f t="shared" si="15"/>
        <v>#REF!</v>
      </c>
      <c r="AI30" s="86">
        <f t="shared" si="5"/>
        <v>0</v>
      </c>
      <c r="AJ30" s="71" t="e">
        <f t="shared" si="6"/>
        <v>#REF!</v>
      </c>
      <c r="AK30" s="74" t="e">
        <f t="shared" si="7"/>
        <v>#REF!</v>
      </c>
      <c r="AL30" s="87" t="e">
        <f t="shared" si="8"/>
        <v>#REF!</v>
      </c>
      <c r="AV30" s="51"/>
      <c r="AW30" s="51"/>
      <c r="AX30" s="51"/>
    </row>
    <row r="31" spans="1:50" s="66" customFormat="1" ht="18" hidden="1" customHeight="1">
      <c r="A31" s="51"/>
      <c r="B31" s="75">
        <v>150</v>
      </c>
      <c r="C31" s="76">
        <v>0</v>
      </c>
      <c r="D31" s="77">
        <f t="shared" si="0"/>
        <v>0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>
        <f t="shared" ref="P31:P35" si="18">P30</f>
        <v>2.8</v>
      </c>
      <c r="Q31" s="79">
        <f t="shared" si="9"/>
        <v>1.4</v>
      </c>
      <c r="R31" s="78">
        <f>'[4]Cert of STD'!D22</f>
        <v>0</v>
      </c>
      <c r="S31" s="79">
        <f t="shared" si="10"/>
        <v>0</v>
      </c>
      <c r="T31" s="80" t="e">
        <f>#REF!*2</f>
        <v>#REF!</v>
      </c>
      <c r="U31" s="81" t="e">
        <f t="shared" si="11"/>
        <v>#REF!</v>
      </c>
      <c r="V31" s="82">
        <f>(1/16)*[4]Data!E35</f>
        <v>0</v>
      </c>
      <c r="W31" s="81">
        <f t="shared" si="12"/>
        <v>0</v>
      </c>
      <c r="X31" s="76" t="e">
        <f t="shared" ref="X31:X35" si="19">X30</f>
        <v>#REF!</v>
      </c>
      <c r="Y31" s="81" t="e">
        <f t="shared" si="12"/>
        <v>#REF!</v>
      </c>
      <c r="Z31" s="81">
        <v>1</v>
      </c>
      <c r="AA31" s="83">
        <f t="shared" si="1"/>
        <v>0.57735026918962584</v>
      </c>
      <c r="AB31" s="77" t="e">
        <f t="shared" ref="AB31:AB35" si="20">AB30</f>
        <v>#REF!</v>
      </c>
      <c r="AC31" s="84" t="e">
        <f t="shared" si="2"/>
        <v>#REF!</v>
      </c>
      <c r="AD31" s="83" t="e">
        <f t="shared" ref="AD31:AD35" si="21">AD30</f>
        <v>#REF!</v>
      </c>
      <c r="AE31" s="83" t="e">
        <f t="shared" si="3"/>
        <v>#REF!</v>
      </c>
      <c r="AF31" s="85">
        <f>(([4]Data!L33)*(11.5*10^-6)*1)</f>
        <v>2.8750000000000001E-5</v>
      </c>
      <c r="AG31" s="77">
        <f t="shared" si="4"/>
        <v>1.6598820239201741E-5</v>
      </c>
      <c r="AH31" s="77" t="e">
        <f t="shared" si="15"/>
        <v>#REF!</v>
      </c>
      <c r="AI31" s="86">
        <f t="shared" si="5"/>
        <v>0</v>
      </c>
      <c r="AJ31" s="71" t="e">
        <f t="shared" si="6"/>
        <v>#REF!</v>
      </c>
      <c r="AK31" s="74" t="e">
        <f t="shared" si="7"/>
        <v>#REF!</v>
      </c>
      <c r="AL31" s="87" t="e">
        <f t="shared" si="8"/>
        <v>#REF!</v>
      </c>
      <c r="AM31" s="88"/>
      <c r="AN31" s="89"/>
      <c r="AV31" s="51"/>
      <c r="AW31" s="51"/>
      <c r="AX31" s="51"/>
    </row>
    <row r="32" spans="1:50" s="66" customFormat="1" ht="18" hidden="1" customHeight="1">
      <c r="A32" s="51"/>
      <c r="B32" s="75">
        <v>150</v>
      </c>
      <c r="C32" s="76">
        <v>0</v>
      </c>
      <c r="D32" s="77">
        <f t="shared" si="0"/>
        <v>0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8">
        <f t="shared" si="18"/>
        <v>2.8</v>
      </c>
      <c r="Q32" s="79">
        <f t="shared" si="9"/>
        <v>1.4</v>
      </c>
      <c r="R32" s="78">
        <f>'[4]Cert of STD'!D23</f>
        <v>0</v>
      </c>
      <c r="S32" s="79">
        <f t="shared" si="10"/>
        <v>0</v>
      </c>
      <c r="T32" s="80" t="e">
        <f>#REF!*2</f>
        <v>#REF!</v>
      </c>
      <c r="U32" s="81" t="e">
        <f t="shared" si="11"/>
        <v>#REF!</v>
      </c>
      <c r="V32" s="82">
        <f>(1/16)*[4]Data!E36</f>
        <v>0</v>
      </c>
      <c r="W32" s="81">
        <f t="shared" si="12"/>
        <v>0</v>
      </c>
      <c r="X32" s="76" t="e">
        <f t="shared" si="19"/>
        <v>#REF!</v>
      </c>
      <c r="Y32" s="81" t="e">
        <f t="shared" si="12"/>
        <v>#REF!</v>
      </c>
      <c r="Z32" s="81">
        <v>1</v>
      </c>
      <c r="AA32" s="83">
        <f t="shared" si="1"/>
        <v>0.57735026918962584</v>
      </c>
      <c r="AB32" s="77" t="e">
        <f t="shared" si="20"/>
        <v>#REF!</v>
      </c>
      <c r="AC32" s="84" t="e">
        <f t="shared" si="2"/>
        <v>#REF!</v>
      </c>
      <c r="AD32" s="83" t="e">
        <f t="shared" si="21"/>
        <v>#REF!</v>
      </c>
      <c r="AE32" s="83" t="e">
        <f t="shared" si="3"/>
        <v>#REF!</v>
      </c>
      <c r="AF32" s="85">
        <f>(([4]Data!L34)*(11.5*10^-6)*1)</f>
        <v>0</v>
      </c>
      <c r="AG32" s="77">
        <f t="shared" si="4"/>
        <v>0</v>
      </c>
      <c r="AH32" s="77" t="e">
        <f t="shared" si="15"/>
        <v>#REF!</v>
      </c>
      <c r="AI32" s="86">
        <f t="shared" si="5"/>
        <v>0</v>
      </c>
      <c r="AJ32" s="71" t="e">
        <f t="shared" si="6"/>
        <v>#REF!</v>
      </c>
      <c r="AK32" s="74" t="e">
        <f t="shared" si="7"/>
        <v>#REF!</v>
      </c>
      <c r="AL32" s="87" t="e">
        <f t="shared" si="8"/>
        <v>#REF!</v>
      </c>
      <c r="AM32" s="7"/>
      <c r="AN32" s="7"/>
      <c r="AV32" s="51"/>
      <c r="AW32" s="51"/>
      <c r="AX32" s="51"/>
    </row>
    <row r="33" spans="2:40" s="13" customFormat="1" ht="18" hidden="1" customHeight="1">
      <c r="B33" s="75">
        <v>150</v>
      </c>
      <c r="C33" s="76">
        <v>0</v>
      </c>
      <c r="D33" s="77">
        <f t="shared" si="0"/>
        <v>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8">
        <f t="shared" si="18"/>
        <v>2.8</v>
      </c>
      <c r="Q33" s="79">
        <f t="shared" si="9"/>
        <v>1.4</v>
      </c>
      <c r="R33" s="78">
        <f>'[4]Cert of STD'!D24</f>
        <v>0</v>
      </c>
      <c r="S33" s="79">
        <f t="shared" si="10"/>
        <v>0</v>
      </c>
      <c r="T33" s="80" t="e">
        <f>#REF!*2</f>
        <v>#REF!</v>
      </c>
      <c r="U33" s="81" t="e">
        <f t="shared" si="11"/>
        <v>#REF!</v>
      </c>
      <c r="V33" s="82">
        <f>(1/16)*[4]Data!E37</f>
        <v>0</v>
      </c>
      <c r="W33" s="81">
        <f t="shared" si="12"/>
        <v>0</v>
      </c>
      <c r="X33" s="76" t="e">
        <f t="shared" si="19"/>
        <v>#REF!</v>
      </c>
      <c r="Y33" s="81" t="e">
        <f t="shared" si="12"/>
        <v>#REF!</v>
      </c>
      <c r="Z33" s="81">
        <v>1</v>
      </c>
      <c r="AA33" s="83">
        <f t="shared" si="1"/>
        <v>0.57735026918962584</v>
      </c>
      <c r="AB33" s="77" t="e">
        <f t="shared" si="20"/>
        <v>#REF!</v>
      </c>
      <c r="AC33" s="84" t="e">
        <f t="shared" si="2"/>
        <v>#REF!</v>
      </c>
      <c r="AD33" s="83" t="e">
        <f t="shared" si="21"/>
        <v>#REF!</v>
      </c>
      <c r="AE33" s="83" t="e">
        <f t="shared" si="3"/>
        <v>#REF!</v>
      </c>
      <c r="AF33" s="85">
        <f>(([4]Data!L35)*(11.5*10^-6)*1)</f>
        <v>0</v>
      </c>
      <c r="AG33" s="77">
        <f t="shared" si="4"/>
        <v>0</v>
      </c>
      <c r="AH33" s="77" t="e">
        <f t="shared" si="15"/>
        <v>#REF!</v>
      </c>
      <c r="AI33" s="86">
        <f t="shared" si="5"/>
        <v>0</v>
      </c>
      <c r="AJ33" s="71" t="e">
        <f t="shared" si="6"/>
        <v>#REF!</v>
      </c>
      <c r="AK33" s="74" t="e">
        <f t="shared" si="7"/>
        <v>#REF!</v>
      </c>
      <c r="AL33" s="87" t="e">
        <f t="shared" si="8"/>
        <v>#REF!</v>
      </c>
      <c r="AM33" s="7"/>
      <c r="AN33" s="7"/>
    </row>
    <row r="34" spans="2:40" s="13" customFormat="1" ht="18" hidden="1" customHeight="1">
      <c r="B34" s="75">
        <v>150</v>
      </c>
      <c r="C34" s="76">
        <v>0</v>
      </c>
      <c r="D34" s="77">
        <f t="shared" si="0"/>
        <v>0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8">
        <f t="shared" si="18"/>
        <v>2.8</v>
      </c>
      <c r="Q34" s="79">
        <f t="shared" si="9"/>
        <v>1.4</v>
      </c>
      <c r="R34" s="78">
        <f>'[4]Cert of STD'!D25</f>
        <v>0</v>
      </c>
      <c r="S34" s="79">
        <f t="shared" si="10"/>
        <v>0</v>
      </c>
      <c r="T34" s="80" t="e">
        <f>#REF!*2</f>
        <v>#REF!</v>
      </c>
      <c r="U34" s="81" t="e">
        <f t="shared" si="11"/>
        <v>#REF!</v>
      </c>
      <c r="V34" s="82">
        <f>(1/16)*[4]Data!E38</f>
        <v>0</v>
      </c>
      <c r="W34" s="81">
        <f t="shared" si="12"/>
        <v>0</v>
      </c>
      <c r="X34" s="76" t="e">
        <f t="shared" si="19"/>
        <v>#REF!</v>
      </c>
      <c r="Y34" s="81" t="e">
        <f t="shared" si="12"/>
        <v>#REF!</v>
      </c>
      <c r="Z34" s="81">
        <v>1</v>
      </c>
      <c r="AA34" s="83">
        <f t="shared" si="1"/>
        <v>0.57735026918962584</v>
      </c>
      <c r="AB34" s="77" t="e">
        <f t="shared" si="20"/>
        <v>#REF!</v>
      </c>
      <c r="AC34" s="84" t="e">
        <f t="shared" si="2"/>
        <v>#REF!</v>
      </c>
      <c r="AD34" s="83" t="e">
        <f t="shared" si="21"/>
        <v>#REF!</v>
      </c>
      <c r="AE34" s="83" t="e">
        <f t="shared" si="3"/>
        <v>#REF!</v>
      </c>
      <c r="AF34" s="85">
        <f>(([4]Data!L36)*(11.5*10^-6)*1)</f>
        <v>0</v>
      </c>
      <c r="AG34" s="77">
        <f t="shared" si="4"/>
        <v>0</v>
      </c>
      <c r="AH34" s="77" t="e">
        <f t="shared" si="15"/>
        <v>#REF!</v>
      </c>
      <c r="AI34" s="86">
        <f t="shared" si="5"/>
        <v>0</v>
      </c>
      <c r="AJ34" s="71" t="e">
        <f t="shared" si="6"/>
        <v>#REF!</v>
      </c>
      <c r="AK34" s="74" t="e">
        <f t="shared" si="7"/>
        <v>#REF!</v>
      </c>
      <c r="AL34" s="87" t="e">
        <f t="shared" si="8"/>
        <v>#REF!</v>
      </c>
      <c r="AM34" s="7"/>
      <c r="AN34" s="7"/>
    </row>
    <row r="35" spans="2:40" s="13" customFormat="1" ht="18" hidden="1" customHeight="1">
      <c r="B35" s="75">
        <v>150</v>
      </c>
      <c r="C35" s="76">
        <v>0</v>
      </c>
      <c r="D35" s="77">
        <f t="shared" si="0"/>
        <v>0</v>
      </c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8">
        <f t="shared" si="18"/>
        <v>2.8</v>
      </c>
      <c r="Q35" s="79">
        <f t="shared" si="9"/>
        <v>1.4</v>
      </c>
      <c r="R35" s="78">
        <f>'[4]Cert of STD'!D26</f>
        <v>0</v>
      </c>
      <c r="S35" s="79">
        <f t="shared" si="10"/>
        <v>0</v>
      </c>
      <c r="T35" s="80" t="e">
        <f>#REF!*2</f>
        <v>#REF!</v>
      </c>
      <c r="U35" s="81" t="e">
        <f t="shared" si="11"/>
        <v>#REF!</v>
      </c>
      <c r="V35" s="82">
        <f>(1/16)*[4]Data!E39</f>
        <v>0</v>
      </c>
      <c r="W35" s="81">
        <f t="shared" si="12"/>
        <v>0</v>
      </c>
      <c r="X35" s="76" t="e">
        <f t="shared" si="19"/>
        <v>#REF!</v>
      </c>
      <c r="Y35" s="81" t="e">
        <f t="shared" si="12"/>
        <v>#REF!</v>
      </c>
      <c r="Z35" s="81">
        <v>1</v>
      </c>
      <c r="AA35" s="83">
        <f t="shared" si="1"/>
        <v>0.57735026918962584</v>
      </c>
      <c r="AB35" s="77" t="e">
        <f t="shared" si="20"/>
        <v>#REF!</v>
      </c>
      <c r="AC35" s="84" t="e">
        <f t="shared" si="2"/>
        <v>#REF!</v>
      </c>
      <c r="AD35" s="83" t="e">
        <f t="shared" si="21"/>
        <v>#REF!</v>
      </c>
      <c r="AE35" s="83" t="e">
        <f t="shared" si="3"/>
        <v>#REF!</v>
      </c>
      <c r="AF35" s="85">
        <f>(([4]Data!L37)*(11.5*10^-6)*1)</f>
        <v>0</v>
      </c>
      <c r="AG35" s="77">
        <f t="shared" si="4"/>
        <v>0</v>
      </c>
      <c r="AH35" s="77" t="e">
        <f t="shared" si="15"/>
        <v>#REF!</v>
      </c>
      <c r="AI35" s="86">
        <f t="shared" si="5"/>
        <v>0</v>
      </c>
      <c r="AJ35" s="71" t="e">
        <f t="shared" si="6"/>
        <v>#REF!</v>
      </c>
      <c r="AK35" s="74" t="e">
        <f t="shared" si="7"/>
        <v>#REF!</v>
      </c>
      <c r="AL35" s="87" t="e">
        <f t="shared" si="8"/>
        <v>#REF!</v>
      </c>
      <c r="AM35" s="7"/>
      <c r="AN35" s="7"/>
    </row>
    <row r="36" spans="2:40" s="13" customFormat="1" ht="18" hidden="1" customHeight="1">
      <c r="B36" s="75">
        <v>150</v>
      </c>
      <c r="C36" s="76">
        <v>0</v>
      </c>
      <c r="D36" s="77">
        <f t="shared" si="0"/>
        <v>0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8">
        <f>P35</f>
        <v>2.8</v>
      </c>
      <c r="Q36" s="79">
        <f t="shared" si="9"/>
        <v>1.4</v>
      </c>
      <c r="R36" s="78">
        <f>'[4]Cert of STD'!D27</f>
        <v>0</v>
      </c>
      <c r="S36" s="79">
        <f t="shared" si="10"/>
        <v>0</v>
      </c>
      <c r="T36" s="80" t="e">
        <f>#REF!*2</f>
        <v>#REF!</v>
      </c>
      <c r="U36" s="81" t="e">
        <f t="shared" si="11"/>
        <v>#REF!</v>
      </c>
      <c r="V36" s="82">
        <f>(1/16)*[4]Data!E40</f>
        <v>0</v>
      </c>
      <c r="W36" s="81">
        <f t="shared" si="12"/>
        <v>0</v>
      </c>
      <c r="X36" s="76" t="e">
        <f>X35</f>
        <v>#REF!</v>
      </c>
      <c r="Y36" s="81" t="e">
        <f t="shared" si="12"/>
        <v>#REF!</v>
      </c>
      <c r="Z36" s="81">
        <v>1</v>
      </c>
      <c r="AA36" s="83">
        <f t="shared" si="1"/>
        <v>0.57735026918962584</v>
      </c>
      <c r="AB36" s="77" t="e">
        <f>AB35</f>
        <v>#REF!</v>
      </c>
      <c r="AC36" s="84" t="e">
        <f t="shared" si="2"/>
        <v>#REF!</v>
      </c>
      <c r="AD36" s="83" t="e">
        <f>AD35</f>
        <v>#REF!</v>
      </c>
      <c r="AE36" s="83" t="e">
        <f t="shared" si="3"/>
        <v>#REF!</v>
      </c>
      <c r="AF36" s="85">
        <f>(([4]Data!L38)*(11.5*10^-6)*1)</f>
        <v>0</v>
      </c>
      <c r="AG36" s="77">
        <f t="shared" si="4"/>
        <v>0</v>
      </c>
      <c r="AH36" s="77" t="e">
        <f t="shared" si="15"/>
        <v>#REF!</v>
      </c>
      <c r="AI36" s="86">
        <f t="shared" si="5"/>
        <v>0</v>
      </c>
      <c r="AJ36" s="71" t="e">
        <f t="shared" si="6"/>
        <v>#REF!</v>
      </c>
      <c r="AK36" s="74" t="e">
        <f t="shared" si="7"/>
        <v>#REF!</v>
      </c>
      <c r="AL36" s="87" t="e">
        <f t="shared" si="8"/>
        <v>#REF!</v>
      </c>
      <c r="AM36" s="7"/>
      <c r="AN36" s="7"/>
    </row>
    <row r="37" spans="2:40" s="13" customFormat="1" ht="18" hidden="1" customHeight="1">
      <c r="B37" s="75">
        <v>150</v>
      </c>
      <c r="C37" s="76">
        <v>0</v>
      </c>
      <c r="D37" s="77">
        <f t="shared" si="0"/>
        <v>0</v>
      </c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8">
        <f t="shared" ref="P37" si="22">P36</f>
        <v>2.8</v>
      </c>
      <c r="Q37" s="79">
        <f t="shared" si="9"/>
        <v>1.4</v>
      </c>
      <c r="R37" s="78">
        <f>'[4]Cert of STD'!D28</f>
        <v>0</v>
      </c>
      <c r="S37" s="79">
        <f t="shared" si="10"/>
        <v>0</v>
      </c>
      <c r="T37" s="80" t="e">
        <f>#REF!*2</f>
        <v>#REF!</v>
      </c>
      <c r="U37" s="81" t="e">
        <f t="shared" si="11"/>
        <v>#REF!</v>
      </c>
      <c r="V37" s="82">
        <f>(1/16)*[4]Data!E41</f>
        <v>0</v>
      </c>
      <c r="W37" s="81">
        <f t="shared" si="12"/>
        <v>0</v>
      </c>
      <c r="X37" s="76" t="e">
        <f t="shared" ref="X37" si="23">X36</f>
        <v>#REF!</v>
      </c>
      <c r="Y37" s="81" t="e">
        <f t="shared" si="12"/>
        <v>#REF!</v>
      </c>
      <c r="Z37" s="81">
        <v>1</v>
      </c>
      <c r="AA37" s="83">
        <f t="shared" si="1"/>
        <v>0.57735026918962584</v>
      </c>
      <c r="AB37" s="77" t="e">
        <f t="shared" ref="AB37" si="24">AB36</f>
        <v>#REF!</v>
      </c>
      <c r="AC37" s="84" t="e">
        <f t="shared" si="2"/>
        <v>#REF!</v>
      </c>
      <c r="AD37" s="83" t="e">
        <f t="shared" ref="AD37" si="25">AD36</f>
        <v>#REF!</v>
      </c>
      <c r="AE37" s="83" t="e">
        <f t="shared" si="3"/>
        <v>#REF!</v>
      </c>
      <c r="AF37" s="85">
        <f>(([4]Data!L39)*(11.5*10^-6)*1)</f>
        <v>2.3E-5</v>
      </c>
      <c r="AG37" s="77">
        <f t="shared" si="4"/>
        <v>1.3279056191361393E-5</v>
      </c>
      <c r="AH37" s="77" t="e">
        <f t="shared" si="15"/>
        <v>#REF!</v>
      </c>
      <c r="AI37" s="86">
        <f t="shared" si="5"/>
        <v>0</v>
      </c>
      <c r="AJ37" s="71" t="e">
        <f t="shared" si="6"/>
        <v>#REF!</v>
      </c>
      <c r="AK37" s="74" t="e">
        <f t="shared" si="7"/>
        <v>#REF!</v>
      </c>
      <c r="AL37" s="87" t="e">
        <f t="shared" si="8"/>
        <v>#REF!</v>
      </c>
      <c r="AM37" s="7"/>
      <c r="AN37" s="7"/>
    </row>
    <row r="38" spans="2:40" s="13" customFormat="1" ht="18" hidden="1" customHeight="1">
      <c r="B38" s="75">
        <v>150</v>
      </c>
      <c r="C38" s="76">
        <v>0</v>
      </c>
      <c r="D38" s="77">
        <f t="shared" si="0"/>
        <v>0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8">
        <f>P37</f>
        <v>2.8</v>
      </c>
      <c r="Q38" s="79">
        <f t="shared" si="9"/>
        <v>1.4</v>
      </c>
      <c r="R38" s="78">
        <f>'[4]Cert of STD'!D29</f>
        <v>0</v>
      </c>
      <c r="S38" s="79">
        <f t="shared" si="10"/>
        <v>0</v>
      </c>
      <c r="T38" s="80" t="e">
        <f>#REF!*2</f>
        <v>#REF!</v>
      </c>
      <c r="U38" s="81" t="e">
        <f t="shared" si="11"/>
        <v>#REF!</v>
      </c>
      <c r="V38" s="82">
        <f>(1/16)*[4]Data!E42</f>
        <v>0</v>
      </c>
      <c r="W38" s="81">
        <f t="shared" si="12"/>
        <v>0</v>
      </c>
      <c r="X38" s="76" t="e">
        <f>X37</f>
        <v>#REF!</v>
      </c>
      <c r="Y38" s="81" t="e">
        <f t="shared" si="12"/>
        <v>#REF!</v>
      </c>
      <c r="Z38" s="81">
        <v>1</v>
      </c>
      <c r="AA38" s="83">
        <f t="shared" si="1"/>
        <v>0.57735026918962584</v>
      </c>
      <c r="AB38" s="77" t="e">
        <f>AB37</f>
        <v>#REF!</v>
      </c>
      <c r="AC38" s="84" t="e">
        <f t="shared" si="2"/>
        <v>#REF!</v>
      </c>
      <c r="AD38" s="83" t="e">
        <f>AD37</f>
        <v>#REF!</v>
      </c>
      <c r="AE38" s="83" t="e">
        <f t="shared" si="3"/>
        <v>#REF!</v>
      </c>
      <c r="AF38" s="85">
        <f>(([4]Data!L40)*(11.5*10^-6)*1)</f>
        <v>1.15011845E-4</v>
      </c>
      <c r="AG38" s="77">
        <f t="shared" si="4"/>
        <v>6.6402119670745514E-5</v>
      </c>
      <c r="AH38" s="77" t="e">
        <f t="shared" si="15"/>
        <v>#REF!</v>
      </c>
      <c r="AI38" s="86">
        <f t="shared" si="5"/>
        <v>0</v>
      </c>
      <c r="AJ38" s="71" t="e">
        <f t="shared" si="6"/>
        <v>#REF!</v>
      </c>
      <c r="AK38" s="74" t="e">
        <f t="shared" si="7"/>
        <v>#REF!</v>
      </c>
      <c r="AL38" s="87" t="e">
        <f t="shared" si="8"/>
        <v>#REF!</v>
      </c>
      <c r="AM38" s="7"/>
      <c r="AN38" s="7"/>
    </row>
    <row r="39" spans="2:40" s="13" customFormat="1" ht="18" hidden="1" customHeight="1">
      <c r="B39" s="75">
        <v>150</v>
      </c>
      <c r="C39" s="76">
        <v>0</v>
      </c>
      <c r="D39" s="77">
        <f t="shared" si="0"/>
        <v>0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8">
        <f t="shared" ref="P39" si="26">P38</f>
        <v>2.8</v>
      </c>
      <c r="Q39" s="79">
        <f t="shared" si="9"/>
        <v>1.4</v>
      </c>
      <c r="R39" s="78">
        <f>'[4]Cert of STD'!D30</f>
        <v>0</v>
      </c>
      <c r="S39" s="79">
        <f t="shared" si="10"/>
        <v>0</v>
      </c>
      <c r="T39" s="80" t="e">
        <f>#REF!*2</f>
        <v>#REF!</v>
      </c>
      <c r="U39" s="81" t="e">
        <f t="shared" si="11"/>
        <v>#REF!</v>
      </c>
      <c r="V39" s="82">
        <f>(1/16)*[4]Data!E43</f>
        <v>0</v>
      </c>
      <c r="W39" s="81">
        <f t="shared" si="12"/>
        <v>0</v>
      </c>
      <c r="X39" s="76" t="e">
        <f t="shared" ref="X39" si="27">X38</f>
        <v>#REF!</v>
      </c>
      <c r="Y39" s="81" t="e">
        <f t="shared" si="12"/>
        <v>#REF!</v>
      </c>
      <c r="Z39" s="81">
        <v>1</v>
      </c>
      <c r="AA39" s="83">
        <f t="shared" si="1"/>
        <v>0.57735026918962584</v>
      </c>
      <c r="AB39" s="77" t="e">
        <f t="shared" ref="AB39" si="28">AB38</f>
        <v>#REF!</v>
      </c>
      <c r="AC39" s="84" t="e">
        <f t="shared" si="2"/>
        <v>#REF!</v>
      </c>
      <c r="AD39" s="83" t="e">
        <f t="shared" ref="AD39" si="29">AD38</f>
        <v>#REF!</v>
      </c>
      <c r="AE39" s="83" t="e">
        <f t="shared" si="3"/>
        <v>#REF!</v>
      </c>
      <c r="AF39" s="85">
        <f>(([4]Data!L41)*(11.5*10^-6)*1)</f>
        <v>1.15011845E-4</v>
      </c>
      <c r="AG39" s="77">
        <f t="shared" si="4"/>
        <v>6.6402119670745514E-5</v>
      </c>
      <c r="AH39" s="77" t="e">
        <f t="shared" si="15"/>
        <v>#REF!</v>
      </c>
      <c r="AI39" s="86">
        <f t="shared" si="5"/>
        <v>0</v>
      </c>
      <c r="AJ39" s="71" t="e">
        <f t="shared" si="6"/>
        <v>#REF!</v>
      </c>
      <c r="AK39" s="74" t="e">
        <f t="shared" si="7"/>
        <v>#REF!</v>
      </c>
      <c r="AL39" s="87" t="e">
        <f t="shared" si="8"/>
        <v>#REF!</v>
      </c>
      <c r="AM39" s="7"/>
      <c r="AN39" s="7"/>
    </row>
    <row r="40" spans="2:40" s="13" customFormat="1" ht="18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2:40" s="13" customFormat="1" ht="18" customHeight="1">
      <c r="B41" s="7"/>
      <c r="C41" s="7"/>
      <c r="D41" s="7"/>
      <c r="E41" s="7"/>
      <c r="F41" s="7"/>
      <c r="G41" s="7"/>
      <c r="H41" s="7"/>
      <c r="Y41" s="51"/>
      <c r="Z41" s="51"/>
      <c r="AA41" s="7"/>
      <c r="AB41" s="7"/>
      <c r="AC41" s="7"/>
    </row>
    <row r="42" spans="2:40" s="13" customFormat="1" ht="18" customHeight="1">
      <c r="B42" s="7"/>
      <c r="C42" s="7"/>
      <c r="D42" s="7"/>
      <c r="E42" s="7"/>
      <c r="F42" s="7"/>
      <c r="G42" s="7"/>
      <c r="H42" s="7"/>
      <c r="Y42" s="51"/>
      <c r="Z42" s="51"/>
      <c r="AA42" s="7"/>
      <c r="AB42" s="7"/>
      <c r="AC42" s="7"/>
    </row>
    <row r="43" spans="2:40" s="13" customFormat="1" ht="18" customHeight="1">
      <c r="B43" s="7"/>
      <c r="C43" s="7"/>
      <c r="D43" s="7"/>
      <c r="E43" s="7"/>
      <c r="F43" s="7"/>
      <c r="G43" s="7"/>
      <c r="H43" s="7"/>
      <c r="Y43" s="51"/>
      <c r="Z43" s="51"/>
      <c r="AA43" s="7"/>
      <c r="AB43" s="7"/>
      <c r="AC43" s="7"/>
    </row>
    <row r="44" spans="2:40" s="13" customFormat="1" ht="18" customHeight="1">
      <c r="B44" s="7"/>
      <c r="C44" s="7"/>
      <c r="D44" s="7"/>
      <c r="E44" s="7"/>
      <c r="F44" s="7"/>
      <c r="G44" s="7"/>
      <c r="H44" s="7"/>
      <c r="Y44" s="66"/>
      <c r="Z44" s="66"/>
      <c r="AA44" s="7"/>
      <c r="AB44" s="7"/>
      <c r="AC44" s="7"/>
    </row>
    <row r="45" spans="2:40" s="13" customFormat="1" ht="18" customHeight="1">
      <c r="B45" s="7"/>
      <c r="C45" s="7"/>
      <c r="D45" s="7"/>
      <c r="E45" s="7"/>
      <c r="F45" s="7"/>
      <c r="G45" s="7"/>
      <c r="H45" s="7"/>
      <c r="Y45" s="66"/>
      <c r="Z45" s="66"/>
      <c r="AA45" s="7"/>
      <c r="AB45" s="7"/>
      <c r="AC45" s="7"/>
    </row>
    <row r="46" spans="2:40" s="13" customFormat="1" ht="18" customHeight="1">
      <c r="B46" s="7"/>
      <c r="C46" s="7"/>
      <c r="D46" s="7"/>
      <c r="E46" s="7"/>
      <c r="F46" s="7"/>
      <c r="G46" s="7"/>
      <c r="H46" s="7"/>
      <c r="Y46" s="66"/>
      <c r="Z46" s="66"/>
      <c r="AA46" s="7"/>
      <c r="AB46" s="7"/>
      <c r="AC46" s="7"/>
    </row>
    <row r="47" spans="2:40" s="13" customFormat="1" ht="18" customHeight="1">
      <c r="B47" s="7"/>
      <c r="C47" s="7"/>
      <c r="D47" s="7"/>
      <c r="E47" s="7"/>
      <c r="F47" s="7"/>
      <c r="G47" s="7"/>
      <c r="H47" s="7"/>
      <c r="Y47" s="66"/>
      <c r="Z47" s="66"/>
      <c r="AA47" s="7"/>
      <c r="AB47" s="7"/>
      <c r="AC47" s="7"/>
    </row>
    <row r="48" spans="2:40" s="13" customFormat="1" ht="18" customHeight="1">
      <c r="B48" s="7"/>
      <c r="C48" s="7"/>
      <c r="D48" s="7"/>
      <c r="E48" s="7"/>
      <c r="F48" s="7"/>
      <c r="G48" s="7"/>
      <c r="H48" s="7"/>
      <c r="Y48" s="66"/>
      <c r="Z48" s="66"/>
      <c r="AA48" s="7"/>
      <c r="AB48" s="7"/>
      <c r="AC48" s="7"/>
    </row>
    <row r="49" spans="2:40" s="13" customFormat="1" ht="18" customHeight="1">
      <c r="B49" s="7"/>
      <c r="C49" s="7"/>
      <c r="D49" s="7"/>
      <c r="E49" s="7"/>
      <c r="F49" s="7"/>
      <c r="G49" s="7"/>
      <c r="H49" s="7"/>
      <c r="Y49" s="66"/>
      <c r="Z49" s="66"/>
      <c r="AA49" s="7"/>
      <c r="AB49" s="7"/>
      <c r="AC49" s="7"/>
    </row>
    <row r="50" spans="2:40" s="13" customFormat="1" ht="18" customHeight="1">
      <c r="B50" s="7"/>
      <c r="C50" s="7"/>
      <c r="D50" s="7"/>
      <c r="E50" s="7"/>
      <c r="F50" s="7"/>
      <c r="G50" s="7"/>
      <c r="H50" s="7"/>
      <c r="Y50" s="66"/>
      <c r="Z50" s="66"/>
      <c r="AA50" s="7"/>
      <c r="AB50" s="7"/>
      <c r="AC50" s="7"/>
    </row>
    <row r="51" spans="2:40" s="13" customFormat="1" ht="18" customHeight="1">
      <c r="B51" s="7"/>
      <c r="C51" s="7"/>
      <c r="D51" s="7"/>
      <c r="E51" s="7"/>
      <c r="F51" s="7"/>
      <c r="G51" s="7"/>
      <c r="H51" s="7"/>
      <c r="R51" s="90"/>
      <c r="S51" s="7"/>
      <c r="U51" s="7"/>
      <c r="W51" s="7"/>
      <c r="X51" s="7"/>
      <c r="Y51" s="7"/>
      <c r="Z51" s="7"/>
      <c r="AA51" s="7"/>
      <c r="AB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2:40" s="13" customFormat="1" ht="18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V52" s="91"/>
      <c r="W52" s="91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2:40" s="13" customFormat="1" ht="1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2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4"/>
      <c r="AI53" s="93"/>
      <c r="AJ53" s="93"/>
      <c r="AK53" s="93"/>
      <c r="AL53" s="95"/>
      <c r="AM53" s="96"/>
      <c r="AN53" s="93"/>
    </row>
    <row r="54" spans="2:40" s="13" customFormat="1" ht="1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2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4"/>
      <c r="AI54" s="93"/>
      <c r="AJ54" s="93"/>
      <c r="AK54" s="93"/>
      <c r="AL54" s="95"/>
      <c r="AM54" s="96"/>
      <c r="AN54" s="93"/>
    </row>
    <row r="55" spans="2:40" s="13" customFormat="1" ht="1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2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4"/>
      <c r="AI55" s="93"/>
      <c r="AJ55" s="93"/>
      <c r="AK55" s="93"/>
      <c r="AL55" s="95"/>
      <c r="AM55" s="96"/>
      <c r="AN55" s="93"/>
    </row>
    <row r="56" spans="2:40">
      <c r="V56" s="93"/>
    </row>
  </sheetData>
  <mergeCells count="76">
    <mergeCell ref="C23:E23"/>
    <mergeCell ref="F23:G23"/>
    <mergeCell ref="H23:I23"/>
    <mergeCell ref="J23:K23"/>
    <mergeCell ref="M23:N23"/>
    <mergeCell ref="C21:E21"/>
    <mergeCell ref="F21:G21"/>
    <mergeCell ref="H21:I21"/>
    <mergeCell ref="J21:K21"/>
    <mergeCell ref="M21:N21"/>
    <mergeCell ref="C22:E22"/>
    <mergeCell ref="F22:G22"/>
    <mergeCell ref="H22:I22"/>
    <mergeCell ref="J22:K22"/>
    <mergeCell ref="M22:N22"/>
    <mergeCell ref="C19:E19"/>
    <mergeCell ref="F19:G19"/>
    <mergeCell ref="H19:I19"/>
    <mergeCell ref="J19:K19"/>
    <mergeCell ref="M19:N19"/>
    <mergeCell ref="C20:E20"/>
    <mergeCell ref="F20:G20"/>
    <mergeCell ref="H20:I20"/>
    <mergeCell ref="J20:K20"/>
    <mergeCell ref="M20:N20"/>
    <mergeCell ref="T17:V18"/>
    <mergeCell ref="C18:E18"/>
    <mergeCell ref="F18:G18"/>
    <mergeCell ref="H18:I18"/>
    <mergeCell ref="J18:K18"/>
    <mergeCell ref="M18:N18"/>
    <mergeCell ref="C17:E17"/>
    <mergeCell ref="F17:G17"/>
    <mergeCell ref="H17:I17"/>
    <mergeCell ref="J17:K17"/>
    <mergeCell ref="M17:N17"/>
    <mergeCell ref="S17:S18"/>
    <mergeCell ref="R15:R16"/>
    <mergeCell ref="S15:S16"/>
    <mergeCell ref="T15:T16"/>
    <mergeCell ref="C16:E16"/>
    <mergeCell ref="F16:G16"/>
    <mergeCell ref="H16:I16"/>
    <mergeCell ref="J16:K16"/>
    <mergeCell ref="M16:N16"/>
    <mergeCell ref="C15:E15"/>
    <mergeCell ref="F15:G15"/>
    <mergeCell ref="H15:I15"/>
    <mergeCell ref="J15:K15"/>
    <mergeCell ref="M15:N15"/>
    <mergeCell ref="C14:E14"/>
    <mergeCell ref="F14:G14"/>
    <mergeCell ref="H14:I14"/>
    <mergeCell ref="J14:K14"/>
    <mergeCell ref="M14:N14"/>
    <mergeCell ref="J12:K13"/>
    <mergeCell ref="L12:L13"/>
    <mergeCell ref="M12:N12"/>
    <mergeCell ref="O12:O13"/>
    <mergeCell ref="F13:G13"/>
    <mergeCell ref="H13:I13"/>
    <mergeCell ref="M13:N13"/>
    <mergeCell ref="D6:E6"/>
    <mergeCell ref="D7:E7"/>
    <mergeCell ref="G8:H8"/>
    <mergeCell ref="G9:H9"/>
    <mergeCell ref="B12:B13"/>
    <mergeCell ref="C12:E13"/>
    <mergeCell ref="F12:G12"/>
    <mergeCell ref="H12:I12"/>
    <mergeCell ref="Q5:R5"/>
    <mergeCell ref="B2:O2"/>
    <mergeCell ref="B5:C5"/>
    <mergeCell ref="E5:F5"/>
    <mergeCell ref="I5:J5"/>
    <mergeCell ref="K5:L5"/>
  </mergeCells>
  <pageMargins left="0.31496062992125984" right="0.31496062992125984" top="0.74803149606299213" bottom="0.74803149606299213" header="0.31496062992125984" footer="0.31496062992125984"/>
  <pageSetup paperSize="9" scale="85" orientation="landscape" r:id="rId1"/>
  <colBreaks count="1" manualBreakCount="1">
    <brk id="38" max="1048575" man="1"/>
  </colBreaks>
  <drawing r:id="rId2"/>
  <legacyDrawing r:id="rId3"/>
  <oleObjects>
    <mc:AlternateContent xmlns:mc="http://schemas.openxmlformats.org/markup-compatibility/2006">
      <mc:Choice Requires="x14">
        <oleObject progId="Equation.3" shapeId="14337" r:id="rId4">
          <objectPr defaultSize="0" autoPict="0" r:id="rId5">
            <anchor moveWithCells="1">
              <from>
                <xdr:col>14</xdr:col>
                <xdr:colOff>171450</xdr:colOff>
                <xdr:row>14</xdr:row>
                <xdr:rowOff>28575</xdr:rowOff>
              </from>
              <to>
                <xdr:col>14</xdr:col>
                <xdr:colOff>428625</xdr:colOff>
                <xdr:row>14</xdr:row>
                <xdr:rowOff>200025</xdr:rowOff>
              </to>
            </anchor>
          </objectPr>
        </oleObject>
      </mc:Choice>
      <mc:Fallback>
        <oleObject progId="Equation.3" shapeId="14337" r:id="rId4"/>
      </mc:Fallback>
    </mc:AlternateContent>
    <mc:AlternateContent xmlns:mc="http://schemas.openxmlformats.org/markup-compatibility/2006">
      <mc:Choice Requires="x14">
        <oleObject progId="Equation.3" shapeId="14338" r:id="rId6">
          <objectPr defaultSize="0" autoPict="0" r:id="rId5">
            <anchor moveWithCells="1">
              <from>
                <xdr:col>14</xdr:col>
                <xdr:colOff>171450</xdr:colOff>
                <xdr:row>15</xdr:row>
                <xdr:rowOff>28575</xdr:rowOff>
              </from>
              <to>
                <xdr:col>14</xdr:col>
                <xdr:colOff>428625</xdr:colOff>
                <xdr:row>15</xdr:row>
                <xdr:rowOff>200025</xdr:rowOff>
              </to>
            </anchor>
          </objectPr>
        </oleObject>
      </mc:Choice>
      <mc:Fallback>
        <oleObject progId="Equation.3" shapeId="14338" r:id="rId6"/>
      </mc:Fallback>
    </mc:AlternateContent>
    <mc:AlternateContent xmlns:mc="http://schemas.openxmlformats.org/markup-compatibility/2006">
      <mc:Choice Requires="x14">
        <oleObject progId="Equation.3" shapeId="14339" r:id="rId7">
          <objectPr defaultSize="0" autoPict="0" r:id="rId5">
            <anchor moveWithCells="1">
              <from>
                <xdr:col>14</xdr:col>
                <xdr:colOff>171450</xdr:colOff>
                <xdr:row>16</xdr:row>
                <xdr:rowOff>28575</xdr:rowOff>
              </from>
              <to>
                <xdr:col>14</xdr:col>
                <xdr:colOff>428625</xdr:colOff>
                <xdr:row>16</xdr:row>
                <xdr:rowOff>200025</xdr:rowOff>
              </to>
            </anchor>
          </objectPr>
        </oleObject>
      </mc:Choice>
      <mc:Fallback>
        <oleObject progId="Equation.3" shapeId="14339" r:id="rId7"/>
      </mc:Fallback>
    </mc:AlternateContent>
    <mc:AlternateContent xmlns:mc="http://schemas.openxmlformats.org/markup-compatibility/2006">
      <mc:Choice Requires="x14">
        <oleObject progId="Equation.3" shapeId="14340" r:id="rId8">
          <objectPr defaultSize="0" autoPict="0" r:id="rId5">
            <anchor moveWithCells="1">
              <from>
                <xdr:col>14</xdr:col>
                <xdr:colOff>171450</xdr:colOff>
                <xdr:row>17</xdr:row>
                <xdr:rowOff>28575</xdr:rowOff>
              </from>
              <to>
                <xdr:col>14</xdr:col>
                <xdr:colOff>428625</xdr:colOff>
                <xdr:row>17</xdr:row>
                <xdr:rowOff>200025</xdr:rowOff>
              </to>
            </anchor>
          </objectPr>
        </oleObject>
      </mc:Choice>
      <mc:Fallback>
        <oleObject progId="Equation.3" shapeId="14340" r:id="rId8"/>
      </mc:Fallback>
    </mc:AlternateContent>
    <mc:AlternateContent xmlns:mc="http://schemas.openxmlformats.org/markup-compatibility/2006">
      <mc:Choice Requires="x14">
        <oleObject progId="Equation.3" shapeId="14341" r:id="rId9">
          <objectPr defaultSize="0" autoPict="0" r:id="rId5">
            <anchor moveWithCells="1">
              <from>
                <xdr:col>14</xdr:col>
                <xdr:colOff>171450</xdr:colOff>
                <xdr:row>18</xdr:row>
                <xdr:rowOff>38100</xdr:rowOff>
              </from>
              <to>
                <xdr:col>14</xdr:col>
                <xdr:colOff>428625</xdr:colOff>
                <xdr:row>18</xdr:row>
                <xdr:rowOff>209550</xdr:rowOff>
              </to>
            </anchor>
          </objectPr>
        </oleObject>
      </mc:Choice>
      <mc:Fallback>
        <oleObject progId="Equation.3" shapeId="14341" r:id="rId9"/>
      </mc:Fallback>
    </mc:AlternateContent>
    <mc:AlternateContent xmlns:mc="http://schemas.openxmlformats.org/markup-compatibility/2006">
      <mc:Choice Requires="x14">
        <oleObject progId="Equation.3" shapeId="14342" r:id="rId10">
          <objectPr defaultSize="0" autoPict="0" r:id="rId5">
            <anchor moveWithCells="1">
              <from>
                <xdr:col>14</xdr:col>
                <xdr:colOff>171450</xdr:colOff>
                <xdr:row>19</xdr:row>
                <xdr:rowOff>28575</xdr:rowOff>
              </from>
              <to>
                <xdr:col>14</xdr:col>
                <xdr:colOff>428625</xdr:colOff>
                <xdr:row>19</xdr:row>
                <xdr:rowOff>200025</xdr:rowOff>
              </to>
            </anchor>
          </objectPr>
        </oleObject>
      </mc:Choice>
      <mc:Fallback>
        <oleObject progId="Equation.3" shapeId="14342" r:id="rId10"/>
      </mc:Fallback>
    </mc:AlternateContent>
    <mc:AlternateContent xmlns:mc="http://schemas.openxmlformats.org/markup-compatibility/2006">
      <mc:Choice Requires="x14">
        <oleObject progId="Equation.3" shapeId="14343" r:id="rId11">
          <objectPr defaultSize="0" autoPict="0" r:id="rId5">
            <anchor moveWithCells="1">
              <from>
                <xdr:col>14</xdr:col>
                <xdr:colOff>171450</xdr:colOff>
                <xdr:row>20</xdr:row>
                <xdr:rowOff>28575</xdr:rowOff>
              </from>
              <to>
                <xdr:col>14</xdr:col>
                <xdr:colOff>428625</xdr:colOff>
                <xdr:row>20</xdr:row>
                <xdr:rowOff>200025</xdr:rowOff>
              </to>
            </anchor>
          </objectPr>
        </oleObject>
      </mc:Choice>
      <mc:Fallback>
        <oleObject progId="Equation.3" shapeId="14343" r:id="rId11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X56"/>
  <sheetViews>
    <sheetView topLeftCell="A2" zoomScale="90" zoomScaleNormal="90" zoomScaleSheetLayoutView="100" workbookViewId="0">
      <selection activeCell="M23" sqref="M23:N23"/>
    </sheetView>
  </sheetViews>
  <sheetFormatPr defaultRowHeight="15"/>
  <cols>
    <col min="1" max="1" width="1.140625" style="51" customWidth="1"/>
    <col min="2" max="29" width="7.5703125" style="51" customWidth="1"/>
    <col min="30" max="38" width="7.140625" style="51" customWidth="1"/>
    <col min="39" max="39" width="4.42578125" style="51" customWidth="1"/>
    <col min="40" max="40" width="7.140625" style="51" customWidth="1"/>
    <col min="41" max="41" width="1.42578125" style="51" customWidth="1"/>
    <col min="48" max="276" width="9.140625" style="51"/>
    <col min="277" max="277" width="1.140625" style="51" customWidth="1"/>
    <col min="278" max="278" width="7.5703125" style="51" customWidth="1"/>
    <col min="279" max="293" width="7.140625" style="51" customWidth="1"/>
    <col min="294" max="295" width="1.42578125" style="51" customWidth="1"/>
    <col min="296" max="296" width="6.42578125" style="51" customWidth="1"/>
    <col min="297" max="298" width="8.7109375" style="51" bestFit="1" customWidth="1"/>
    <col min="299" max="532" width="9.140625" style="51"/>
    <col min="533" max="533" width="1.140625" style="51" customWidth="1"/>
    <col min="534" max="534" width="7.5703125" style="51" customWidth="1"/>
    <col min="535" max="549" width="7.140625" style="51" customWidth="1"/>
    <col min="550" max="551" width="1.42578125" style="51" customWidth="1"/>
    <col min="552" max="552" width="6.42578125" style="51" customWidth="1"/>
    <col min="553" max="554" width="8.7109375" style="51" bestFit="1" customWidth="1"/>
    <col min="555" max="788" width="9.140625" style="51"/>
    <col min="789" max="789" width="1.140625" style="51" customWidth="1"/>
    <col min="790" max="790" width="7.5703125" style="51" customWidth="1"/>
    <col min="791" max="805" width="7.140625" style="51" customWidth="1"/>
    <col min="806" max="807" width="1.42578125" style="51" customWidth="1"/>
    <col min="808" max="808" width="6.42578125" style="51" customWidth="1"/>
    <col min="809" max="810" width="8.7109375" style="51" bestFit="1" customWidth="1"/>
    <col min="811" max="1044" width="9.140625" style="51"/>
    <col min="1045" max="1045" width="1.140625" style="51" customWidth="1"/>
    <col min="1046" max="1046" width="7.5703125" style="51" customWidth="1"/>
    <col min="1047" max="1061" width="7.140625" style="51" customWidth="1"/>
    <col min="1062" max="1063" width="1.42578125" style="51" customWidth="1"/>
    <col min="1064" max="1064" width="6.42578125" style="51" customWidth="1"/>
    <col min="1065" max="1066" width="8.7109375" style="51" bestFit="1" customWidth="1"/>
    <col min="1067" max="1300" width="9.140625" style="51"/>
    <col min="1301" max="1301" width="1.140625" style="51" customWidth="1"/>
    <col min="1302" max="1302" width="7.5703125" style="51" customWidth="1"/>
    <col min="1303" max="1317" width="7.140625" style="51" customWidth="1"/>
    <col min="1318" max="1319" width="1.42578125" style="51" customWidth="1"/>
    <col min="1320" max="1320" width="6.42578125" style="51" customWidth="1"/>
    <col min="1321" max="1322" width="8.7109375" style="51" bestFit="1" customWidth="1"/>
    <col min="1323" max="1556" width="9.140625" style="51"/>
    <col min="1557" max="1557" width="1.140625" style="51" customWidth="1"/>
    <col min="1558" max="1558" width="7.5703125" style="51" customWidth="1"/>
    <col min="1559" max="1573" width="7.140625" style="51" customWidth="1"/>
    <col min="1574" max="1575" width="1.42578125" style="51" customWidth="1"/>
    <col min="1576" max="1576" width="6.42578125" style="51" customWidth="1"/>
    <col min="1577" max="1578" width="8.7109375" style="51" bestFit="1" customWidth="1"/>
    <col min="1579" max="1812" width="9.140625" style="51"/>
    <col min="1813" max="1813" width="1.140625" style="51" customWidth="1"/>
    <col min="1814" max="1814" width="7.5703125" style="51" customWidth="1"/>
    <col min="1815" max="1829" width="7.140625" style="51" customWidth="1"/>
    <col min="1830" max="1831" width="1.42578125" style="51" customWidth="1"/>
    <col min="1832" max="1832" width="6.42578125" style="51" customWidth="1"/>
    <col min="1833" max="1834" width="8.7109375" style="51" bestFit="1" customWidth="1"/>
    <col min="1835" max="2068" width="9.140625" style="51"/>
    <col min="2069" max="2069" width="1.140625" style="51" customWidth="1"/>
    <col min="2070" max="2070" width="7.5703125" style="51" customWidth="1"/>
    <col min="2071" max="2085" width="7.140625" style="51" customWidth="1"/>
    <col min="2086" max="2087" width="1.42578125" style="51" customWidth="1"/>
    <col min="2088" max="2088" width="6.42578125" style="51" customWidth="1"/>
    <col min="2089" max="2090" width="8.7109375" style="51" bestFit="1" customWidth="1"/>
    <col min="2091" max="2324" width="9.140625" style="51"/>
    <col min="2325" max="2325" width="1.140625" style="51" customWidth="1"/>
    <col min="2326" max="2326" width="7.5703125" style="51" customWidth="1"/>
    <col min="2327" max="2341" width="7.140625" style="51" customWidth="1"/>
    <col min="2342" max="2343" width="1.42578125" style="51" customWidth="1"/>
    <col min="2344" max="2344" width="6.42578125" style="51" customWidth="1"/>
    <col min="2345" max="2346" width="8.7109375" style="51" bestFit="1" customWidth="1"/>
    <col min="2347" max="2580" width="9.140625" style="51"/>
    <col min="2581" max="2581" width="1.140625" style="51" customWidth="1"/>
    <col min="2582" max="2582" width="7.5703125" style="51" customWidth="1"/>
    <col min="2583" max="2597" width="7.140625" style="51" customWidth="1"/>
    <col min="2598" max="2599" width="1.42578125" style="51" customWidth="1"/>
    <col min="2600" max="2600" width="6.42578125" style="51" customWidth="1"/>
    <col min="2601" max="2602" width="8.7109375" style="51" bestFit="1" customWidth="1"/>
    <col min="2603" max="2836" width="9.140625" style="51"/>
    <col min="2837" max="2837" width="1.140625" style="51" customWidth="1"/>
    <col min="2838" max="2838" width="7.5703125" style="51" customWidth="1"/>
    <col min="2839" max="2853" width="7.140625" style="51" customWidth="1"/>
    <col min="2854" max="2855" width="1.42578125" style="51" customWidth="1"/>
    <col min="2856" max="2856" width="6.42578125" style="51" customWidth="1"/>
    <col min="2857" max="2858" width="8.7109375" style="51" bestFit="1" customWidth="1"/>
    <col min="2859" max="3092" width="9.140625" style="51"/>
    <col min="3093" max="3093" width="1.140625" style="51" customWidth="1"/>
    <col min="3094" max="3094" width="7.5703125" style="51" customWidth="1"/>
    <col min="3095" max="3109" width="7.140625" style="51" customWidth="1"/>
    <col min="3110" max="3111" width="1.42578125" style="51" customWidth="1"/>
    <col min="3112" max="3112" width="6.42578125" style="51" customWidth="1"/>
    <col min="3113" max="3114" width="8.7109375" style="51" bestFit="1" customWidth="1"/>
    <col min="3115" max="3348" width="9.140625" style="51"/>
    <col min="3349" max="3349" width="1.140625" style="51" customWidth="1"/>
    <col min="3350" max="3350" width="7.5703125" style="51" customWidth="1"/>
    <col min="3351" max="3365" width="7.140625" style="51" customWidth="1"/>
    <col min="3366" max="3367" width="1.42578125" style="51" customWidth="1"/>
    <col min="3368" max="3368" width="6.42578125" style="51" customWidth="1"/>
    <col min="3369" max="3370" width="8.7109375" style="51" bestFit="1" customWidth="1"/>
    <col min="3371" max="3604" width="9.140625" style="51"/>
    <col min="3605" max="3605" width="1.140625" style="51" customWidth="1"/>
    <col min="3606" max="3606" width="7.5703125" style="51" customWidth="1"/>
    <col min="3607" max="3621" width="7.140625" style="51" customWidth="1"/>
    <col min="3622" max="3623" width="1.42578125" style="51" customWidth="1"/>
    <col min="3624" max="3624" width="6.42578125" style="51" customWidth="1"/>
    <col min="3625" max="3626" width="8.7109375" style="51" bestFit="1" customWidth="1"/>
    <col min="3627" max="3860" width="9.140625" style="51"/>
    <col min="3861" max="3861" width="1.140625" style="51" customWidth="1"/>
    <col min="3862" max="3862" width="7.5703125" style="51" customWidth="1"/>
    <col min="3863" max="3877" width="7.140625" style="51" customWidth="1"/>
    <col min="3878" max="3879" width="1.42578125" style="51" customWidth="1"/>
    <col min="3880" max="3880" width="6.42578125" style="51" customWidth="1"/>
    <col min="3881" max="3882" width="8.7109375" style="51" bestFit="1" customWidth="1"/>
    <col min="3883" max="4116" width="9.140625" style="51"/>
    <col min="4117" max="4117" width="1.140625" style="51" customWidth="1"/>
    <col min="4118" max="4118" width="7.5703125" style="51" customWidth="1"/>
    <col min="4119" max="4133" width="7.140625" style="51" customWidth="1"/>
    <col min="4134" max="4135" width="1.42578125" style="51" customWidth="1"/>
    <col min="4136" max="4136" width="6.42578125" style="51" customWidth="1"/>
    <col min="4137" max="4138" width="8.7109375" style="51" bestFit="1" customWidth="1"/>
    <col min="4139" max="4372" width="9.140625" style="51"/>
    <col min="4373" max="4373" width="1.140625" style="51" customWidth="1"/>
    <col min="4374" max="4374" width="7.5703125" style="51" customWidth="1"/>
    <col min="4375" max="4389" width="7.140625" style="51" customWidth="1"/>
    <col min="4390" max="4391" width="1.42578125" style="51" customWidth="1"/>
    <col min="4392" max="4392" width="6.42578125" style="51" customWidth="1"/>
    <col min="4393" max="4394" width="8.7109375" style="51" bestFit="1" customWidth="1"/>
    <col min="4395" max="4628" width="9.140625" style="51"/>
    <col min="4629" max="4629" width="1.140625" style="51" customWidth="1"/>
    <col min="4630" max="4630" width="7.5703125" style="51" customWidth="1"/>
    <col min="4631" max="4645" width="7.140625" style="51" customWidth="1"/>
    <col min="4646" max="4647" width="1.42578125" style="51" customWidth="1"/>
    <col min="4648" max="4648" width="6.42578125" style="51" customWidth="1"/>
    <col min="4649" max="4650" width="8.7109375" style="51" bestFit="1" customWidth="1"/>
    <col min="4651" max="4884" width="9.140625" style="51"/>
    <col min="4885" max="4885" width="1.140625" style="51" customWidth="1"/>
    <col min="4886" max="4886" width="7.5703125" style="51" customWidth="1"/>
    <col min="4887" max="4901" width="7.140625" style="51" customWidth="1"/>
    <col min="4902" max="4903" width="1.42578125" style="51" customWidth="1"/>
    <col min="4904" max="4904" width="6.42578125" style="51" customWidth="1"/>
    <col min="4905" max="4906" width="8.7109375" style="51" bestFit="1" customWidth="1"/>
    <col min="4907" max="5140" width="9.140625" style="51"/>
    <col min="5141" max="5141" width="1.140625" style="51" customWidth="1"/>
    <col min="5142" max="5142" width="7.5703125" style="51" customWidth="1"/>
    <col min="5143" max="5157" width="7.140625" style="51" customWidth="1"/>
    <col min="5158" max="5159" width="1.42578125" style="51" customWidth="1"/>
    <col min="5160" max="5160" width="6.42578125" style="51" customWidth="1"/>
    <col min="5161" max="5162" width="8.7109375" style="51" bestFit="1" customWidth="1"/>
    <col min="5163" max="5396" width="9.140625" style="51"/>
    <col min="5397" max="5397" width="1.140625" style="51" customWidth="1"/>
    <col min="5398" max="5398" width="7.5703125" style="51" customWidth="1"/>
    <col min="5399" max="5413" width="7.140625" style="51" customWidth="1"/>
    <col min="5414" max="5415" width="1.42578125" style="51" customWidth="1"/>
    <col min="5416" max="5416" width="6.42578125" style="51" customWidth="1"/>
    <col min="5417" max="5418" width="8.7109375" style="51" bestFit="1" customWidth="1"/>
    <col min="5419" max="5652" width="9.140625" style="51"/>
    <col min="5653" max="5653" width="1.140625" style="51" customWidth="1"/>
    <col min="5654" max="5654" width="7.5703125" style="51" customWidth="1"/>
    <col min="5655" max="5669" width="7.140625" style="51" customWidth="1"/>
    <col min="5670" max="5671" width="1.42578125" style="51" customWidth="1"/>
    <col min="5672" max="5672" width="6.42578125" style="51" customWidth="1"/>
    <col min="5673" max="5674" width="8.7109375" style="51" bestFit="1" customWidth="1"/>
    <col min="5675" max="5908" width="9.140625" style="51"/>
    <col min="5909" max="5909" width="1.140625" style="51" customWidth="1"/>
    <col min="5910" max="5910" width="7.5703125" style="51" customWidth="1"/>
    <col min="5911" max="5925" width="7.140625" style="51" customWidth="1"/>
    <col min="5926" max="5927" width="1.42578125" style="51" customWidth="1"/>
    <col min="5928" max="5928" width="6.42578125" style="51" customWidth="1"/>
    <col min="5929" max="5930" width="8.7109375" style="51" bestFit="1" customWidth="1"/>
    <col min="5931" max="6164" width="9.140625" style="51"/>
    <col min="6165" max="6165" width="1.140625" style="51" customWidth="1"/>
    <col min="6166" max="6166" width="7.5703125" style="51" customWidth="1"/>
    <col min="6167" max="6181" width="7.140625" style="51" customWidth="1"/>
    <col min="6182" max="6183" width="1.42578125" style="51" customWidth="1"/>
    <col min="6184" max="6184" width="6.42578125" style="51" customWidth="1"/>
    <col min="6185" max="6186" width="8.7109375" style="51" bestFit="1" customWidth="1"/>
    <col min="6187" max="6420" width="9.140625" style="51"/>
    <col min="6421" max="6421" width="1.140625" style="51" customWidth="1"/>
    <col min="6422" max="6422" width="7.5703125" style="51" customWidth="1"/>
    <col min="6423" max="6437" width="7.140625" style="51" customWidth="1"/>
    <col min="6438" max="6439" width="1.42578125" style="51" customWidth="1"/>
    <col min="6440" max="6440" width="6.42578125" style="51" customWidth="1"/>
    <col min="6441" max="6442" width="8.7109375" style="51" bestFit="1" customWidth="1"/>
    <col min="6443" max="6676" width="9.140625" style="51"/>
    <col min="6677" max="6677" width="1.140625" style="51" customWidth="1"/>
    <col min="6678" max="6678" width="7.5703125" style="51" customWidth="1"/>
    <col min="6679" max="6693" width="7.140625" style="51" customWidth="1"/>
    <col min="6694" max="6695" width="1.42578125" style="51" customWidth="1"/>
    <col min="6696" max="6696" width="6.42578125" style="51" customWidth="1"/>
    <col min="6697" max="6698" width="8.7109375" style="51" bestFit="1" customWidth="1"/>
    <col min="6699" max="6932" width="9.140625" style="51"/>
    <col min="6933" max="6933" width="1.140625" style="51" customWidth="1"/>
    <col min="6934" max="6934" width="7.5703125" style="51" customWidth="1"/>
    <col min="6935" max="6949" width="7.140625" style="51" customWidth="1"/>
    <col min="6950" max="6951" width="1.42578125" style="51" customWidth="1"/>
    <col min="6952" max="6952" width="6.42578125" style="51" customWidth="1"/>
    <col min="6953" max="6954" width="8.7109375" style="51" bestFit="1" customWidth="1"/>
    <col min="6955" max="7188" width="9.140625" style="51"/>
    <col min="7189" max="7189" width="1.140625" style="51" customWidth="1"/>
    <col min="7190" max="7190" width="7.5703125" style="51" customWidth="1"/>
    <col min="7191" max="7205" width="7.140625" style="51" customWidth="1"/>
    <col min="7206" max="7207" width="1.42578125" style="51" customWidth="1"/>
    <col min="7208" max="7208" width="6.42578125" style="51" customWidth="1"/>
    <col min="7209" max="7210" width="8.7109375" style="51" bestFit="1" customWidth="1"/>
    <col min="7211" max="7444" width="9.140625" style="51"/>
    <col min="7445" max="7445" width="1.140625" style="51" customWidth="1"/>
    <col min="7446" max="7446" width="7.5703125" style="51" customWidth="1"/>
    <col min="7447" max="7461" width="7.140625" style="51" customWidth="1"/>
    <col min="7462" max="7463" width="1.42578125" style="51" customWidth="1"/>
    <col min="7464" max="7464" width="6.42578125" style="51" customWidth="1"/>
    <col min="7465" max="7466" width="8.7109375" style="51" bestFit="1" customWidth="1"/>
    <col min="7467" max="7700" width="9.140625" style="51"/>
    <col min="7701" max="7701" width="1.140625" style="51" customWidth="1"/>
    <col min="7702" max="7702" width="7.5703125" style="51" customWidth="1"/>
    <col min="7703" max="7717" width="7.140625" style="51" customWidth="1"/>
    <col min="7718" max="7719" width="1.42578125" style="51" customWidth="1"/>
    <col min="7720" max="7720" width="6.42578125" style="51" customWidth="1"/>
    <col min="7721" max="7722" width="8.7109375" style="51" bestFit="1" customWidth="1"/>
    <col min="7723" max="7956" width="9.140625" style="51"/>
    <col min="7957" max="7957" width="1.140625" style="51" customWidth="1"/>
    <col min="7958" max="7958" width="7.5703125" style="51" customWidth="1"/>
    <col min="7959" max="7973" width="7.140625" style="51" customWidth="1"/>
    <col min="7974" max="7975" width="1.42578125" style="51" customWidth="1"/>
    <col min="7976" max="7976" width="6.42578125" style="51" customWidth="1"/>
    <col min="7977" max="7978" width="8.7109375" style="51" bestFit="1" customWidth="1"/>
    <col min="7979" max="8212" width="9.140625" style="51"/>
    <col min="8213" max="8213" width="1.140625" style="51" customWidth="1"/>
    <col min="8214" max="8214" width="7.5703125" style="51" customWidth="1"/>
    <col min="8215" max="8229" width="7.140625" style="51" customWidth="1"/>
    <col min="8230" max="8231" width="1.42578125" style="51" customWidth="1"/>
    <col min="8232" max="8232" width="6.42578125" style="51" customWidth="1"/>
    <col min="8233" max="8234" width="8.7109375" style="51" bestFit="1" customWidth="1"/>
    <col min="8235" max="8468" width="9.140625" style="51"/>
    <col min="8469" max="8469" width="1.140625" style="51" customWidth="1"/>
    <col min="8470" max="8470" width="7.5703125" style="51" customWidth="1"/>
    <col min="8471" max="8485" width="7.140625" style="51" customWidth="1"/>
    <col min="8486" max="8487" width="1.42578125" style="51" customWidth="1"/>
    <col min="8488" max="8488" width="6.42578125" style="51" customWidth="1"/>
    <col min="8489" max="8490" width="8.7109375" style="51" bestFit="1" customWidth="1"/>
    <col min="8491" max="8724" width="9.140625" style="51"/>
    <col min="8725" max="8725" width="1.140625" style="51" customWidth="1"/>
    <col min="8726" max="8726" width="7.5703125" style="51" customWidth="1"/>
    <col min="8727" max="8741" width="7.140625" style="51" customWidth="1"/>
    <col min="8742" max="8743" width="1.42578125" style="51" customWidth="1"/>
    <col min="8744" max="8744" width="6.42578125" style="51" customWidth="1"/>
    <col min="8745" max="8746" width="8.7109375" style="51" bestFit="1" customWidth="1"/>
    <col min="8747" max="8980" width="9.140625" style="51"/>
    <col min="8981" max="8981" width="1.140625" style="51" customWidth="1"/>
    <col min="8982" max="8982" width="7.5703125" style="51" customWidth="1"/>
    <col min="8983" max="8997" width="7.140625" style="51" customWidth="1"/>
    <col min="8998" max="8999" width="1.42578125" style="51" customWidth="1"/>
    <col min="9000" max="9000" width="6.42578125" style="51" customWidth="1"/>
    <col min="9001" max="9002" width="8.7109375" style="51" bestFit="1" customWidth="1"/>
    <col min="9003" max="9236" width="9.140625" style="51"/>
    <col min="9237" max="9237" width="1.140625" style="51" customWidth="1"/>
    <col min="9238" max="9238" width="7.5703125" style="51" customWidth="1"/>
    <col min="9239" max="9253" width="7.140625" style="51" customWidth="1"/>
    <col min="9254" max="9255" width="1.42578125" style="51" customWidth="1"/>
    <col min="9256" max="9256" width="6.42578125" style="51" customWidth="1"/>
    <col min="9257" max="9258" width="8.7109375" style="51" bestFit="1" customWidth="1"/>
    <col min="9259" max="9492" width="9.140625" style="51"/>
    <col min="9493" max="9493" width="1.140625" style="51" customWidth="1"/>
    <col min="9494" max="9494" width="7.5703125" style="51" customWidth="1"/>
    <col min="9495" max="9509" width="7.140625" style="51" customWidth="1"/>
    <col min="9510" max="9511" width="1.42578125" style="51" customWidth="1"/>
    <col min="9512" max="9512" width="6.42578125" style="51" customWidth="1"/>
    <col min="9513" max="9514" width="8.7109375" style="51" bestFit="1" customWidth="1"/>
    <col min="9515" max="9748" width="9.140625" style="51"/>
    <col min="9749" max="9749" width="1.140625" style="51" customWidth="1"/>
    <col min="9750" max="9750" width="7.5703125" style="51" customWidth="1"/>
    <col min="9751" max="9765" width="7.140625" style="51" customWidth="1"/>
    <col min="9766" max="9767" width="1.42578125" style="51" customWidth="1"/>
    <col min="9768" max="9768" width="6.42578125" style="51" customWidth="1"/>
    <col min="9769" max="9770" width="8.7109375" style="51" bestFit="1" customWidth="1"/>
    <col min="9771" max="10004" width="9.140625" style="51"/>
    <col min="10005" max="10005" width="1.140625" style="51" customWidth="1"/>
    <col min="10006" max="10006" width="7.5703125" style="51" customWidth="1"/>
    <col min="10007" max="10021" width="7.140625" style="51" customWidth="1"/>
    <col min="10022" max="10023" width="1.42578125" style="51" customWidth="1"/>
    <col min="10024" max="10024" width="6.42578125" style="51" customWidth="1"/>
    <col min="10025" max="10026" width="8.7109375" style="51" bestFit="1" customWidth="1"/>
    <col min="10027" max="10260" width="9.140625" style="51"/>
    <col min="10261" max="10261" width="1.140625" style="51" customWidth="1"/>
    <col min="10262" max="10262" width="7.5703125" style="51" customWidth="1"/>
    <col min="10263" max="10277" width="7.140625" style="51" customWidth="1"/>
    <col min="10278" max="10279" width="1.42578125" style="51" customWidth="1"/>
    <col min="10280" max="10280" width="6.42578125" style="51" customWidth="1"/>
    <col min="10281" max="10282" width="8.7109375" style="51" bestFit="1" customWidth="1"/>
    <col min="10283" max="10516" width="9.140625" style="51"/>
    <col min="10517" max="10517" width="1.140625" style="51" customWidth="1"/>
    <col min="10518" max="10518" width="7.5703125" style="51" customWidth="1"/>
    <col min="10519" max="10533" width="7.140625" style="51" customWidth="1"/>
    <col min="10534" max="10535" width="1.42578125" style="51" customWidth="1"/>
    <col min="10536" max="10536" width="6.42578125" style="51" customWidth="1"/>
    <col min="10537" max="10538" width="8.7109375" style="51" bestFit="1" customWidth="1"/>
    <col min="10539" max="10772" width="9.140625" style="51"/>
    <col min="10773" max="10773" width="1.140625" style="51" customWidth="1"/>
    <col min="10774" max="10774" width="7.5703125" style="51" customWidth="1"/>
    <col min="10775" max="10789" width="7.140625" style="51" customWidth="1"/>
    <col min="10790" max="10791" width="1.42578125" style="51" customWidth="1"/>
    <col min="10792" max="10792" width="6.42578125" style="51" customWidth="1"/>
    <col min="10793" max="10794" width="8.7109375" style="51" bestFit="1" customWidth="1"/>
    <col min="10795" max="11028" width="9.140625" style="51"/>
    <col min="11029" max="11029" width="1.140625" style="51" customWidth="1"/>
    <col min="11030" max="11030" width="7.5703125" style="51" customWidth="1"/>
    <col min="11031" max="11045" width="7.140625" style="51" customWidth="1"/>
    <col min="11046" max="11047" width="1.42578125" style="51" customWidth="1"/>
    <col min="11048" max="11048" width="6.42578125" style="51" customWidth="1"/>
    <col min="11049" max="11050" width="8.7109375" style="51" bestFit="1" customWidth="1"/>
    <col min="11051" max="11284" width="9.140625" style="51"/>
    <col min="11285" max="11285" width="1.140625" style="51" customWidth="1"/>
    <col min="11286" max="11286" width="7.5703125" style="51" customWidth="1"/>
    <col min="11287" max="11301" width="7.140625" style="51" customWidth="1"/>
    <col min="11302" max="11303" width="1.42578125" style="51" customWidth="1"/>
    <col min="11304" max="11304" width="6.42578125" style="51" customWidth="1"/>
    <col min="11305" max="11306" width="8.7109375" style="51" bestFit="1" customWidth="1"/>
    <col min="11307" max="11540" width="9.140625" style="51"/>
    <col min="11541" max="11541" width="1.140625" style="51" customWidth="1"/>
    <col min="11542" max="11542" width="7.5703125" style="51" customWidth="1"/>
    <col min="11543" max="11557" width="7.140625" style="51" customWidth="1"/>
    <col min="11558" max="11559" width="1.42578125" style="51" customWidth="1"/>
    <col min="11560" max="11560" width="6.42578125" style="51" customWidth="1"/>
    <col min="11561" max="11562" width="8.7109375" style="51" bestFit="1" customWidth="1"/>
    <col min="11563" max="11796" width="9.140625" style="51"/>
    <col min="11797" max="11797" width="1.140625" style="51" customWidth="1"/>
    <col min="11798" max="11798" width="7.5703125" style="51" customWidth="1"/>
    <col min="11799" max="11813" width="7.140625" style="51" customWidth="1"/>
    <col min="11814" max="11815" width="1.42578125" style="51" customWidth="1"/>
    <col min="11816" max="11816" width="6.42578125" style="51" customWidth="1"/>
    <col min="11817" max="11818" width="8.7109375" style="51" bestFit="1" customWidth="1"/>
    <col min="11819" max="12052" width="9.140625" style="51"/>
    <col min="12053" max="12053" width="1.140625" style="51" customWidth="1"/>
    <col min="12054" max="12054" width="7.5703125" style="51" customWidth="1"/>
    <col min="12055" max="12069" width="7.140625" style="51" customWidth="1"/>
    <col min="12070" max="12071" width="1.42578125" style="51" customWidth="1"/>
    <col min="12072" max="12072" width="6.42578125" style="51" customWidth="1"/>
    <col min="12073" max="12074" width="8.7109375" style="51" bestFit="1" customWidth="1"/>
    <col min="12075" max="12308" width="9.140625" style="51"/>
    <col min="12309" max="12309" width="1.140625" style="51" customWidth="1"/>
    <col min="12310" max="12310" width="7.5703125" style="51" customWidth="1"/>
    <col min="12311" max="12325" width="7.140625" style="51" customWidth="1"/>
    <col min="12326" max="12327" width="1.42578125" style="51" customWidth="1"/>
    <col min="12328" max="12328" width="6.42578125" style="51" customWidth="1"/>
    <col min="12329" max="12330" width="8.7109375" style="51" bestFit="1" customWidth="1"/>
    <col min="12331" max="12564" width="9.140625" style="51"/>
    <col min="12565" max="12565" width="1.140625" style="51" customWidth="1"/>
    <col min="12566" max="12566" width="7.5703125" style="51" customWidth="1"/>
    <col min="12567" max="12581" width="7.140625" style="51" customWidth="1"/>
    <col min="12582" max="12583" width="1.42578125" style="51" customWidth="1"/>
    <col min="12584" max="12584" width="6.42578125" style="51" customWidth="1"/>
    <col min="12585" max="12586" width="8.7109375" style="51" bestFit="1" customWidth="1"/>
    <col min="12587" max="12820" width="9.140625" style="51"/>
    <col min="12821" max="12821" width="1.140625" style="51" customWidth="1"/>
    <col min="12822" max="12822" width="7.5703125" style="51" customWidth="1"/>
    <col min="12823" max="12837" width="7.140625" style="51" customWidth="1"/>
    <col min="12838" max="12839" width="1.42578125" style="51" customWidth="1"/>
    <col min="12840" max="12840" width="6.42578125" style="51" customWidth="1"/>
    <col min="12841" max="12842" width="8.7109375" style="51" bestFit="1" customWidth="1"/>
    <col min="12843" max="13076" width="9.140625" style="51"/>
    <col min="13077" max="13077" width="1.140625" style="51" customWidth="1"/>
    <col min="13078" max="13078" width="7.5703125" style="51" customWidth="1"/>
    <col min="13079" max="13093" width="7.140625" style="51" customWidth="1"/>
    <col min="13094" max="13095" width="1.42578125" style="51" customWidth="1"/>
    <col min="13096" max="13096" width="6.42578125" style="51" customWidth="1"/>
    <col min="13097" max="13098" width="8.7109375" style="51" bestFit="1" customWidth="1"/>
    <col min="13099" max="13332" width="9.140625" style="51"/>
    <col min="13333" max="13333" width="1.140625" style="51" customWidth="1"/>
    <col min="13334" max="13334" width="7.5703125" style="51" customWidth="1"/>
    <col min="13335" max="13349" width="7.140625" style="51" customWidth="1"/>
    <col min="13350" max="13351" width="1.42578125" style="51" customWidth="1"/>
    <col min="13352" max="13352" width="6.42578125" style="51" customWidth="1"/>
    <col min="13353" max="13354" width="8.7109375" style="51" bestFit="1" customWidth="1"/>
    <col min="13355" max="13588" width="9.140625" style="51"/>
    <col min="13589" max="13589" width="1.140625" style="51" customWidth="1"/>
    <col min="13590" max="13590" width="7.5703125" style="51" customWidth="1"/>
    <col min="13591" max="13605" width="7.140625" style="51" customWidth="1"/>
    <col min="13606" max="13607" width="1.42578125" style="51" customWidth="1"/>
    <col min="13608" max="13608" width="6.42578125" style="51" customWidth="1"/>
    <col min="13609" max="13610" width="8.7109375" style="51" bestFit="1" customWidth="1"/>
    <col min="13611" max="13844" width="9.140625" style="51"/>
    <col min="13845" max="13845" width="1.140625" style="51" customWidth="1"/>
    <col min="13846" max="13846" width="7.5703125" style="51" customWidth="1"/>
    <col min="13847" max="13861" width="7.140625" style="51" customWidth="1"/>
    <col min="13862" max="13863" width="1.42578125" style="51" customWidth="1"/>
    <col min="13864" max="13864" width="6.42578125" style="51" customWidth="1"/>
    <col min="13865" max="13866" width="8.7109375" style="51" bestFit="1" customWidth="1"/>
    <col min="13867" max="14100" width="9.140625" style="51"/>
    <col min="14101" max="14101" width="1.140625" style="51" customWidth="1"/>
    <col min="14102" max="14102" width="7.5703125" style="51" customWidth="1"/>
    <col min="14103" max="14117" width="7.140625" style="51" customWidth="1"/>
    <col min="14118" max="14119" width="1.42578125" style="51" customWidth="1"/>
    <col min="14120" max="14120" width="6.42578125" style="51" customWidth="1"/>
    <col min="14121" max="14122" width="8.7109375" style="51" bestFit="1" customWidth="1"/>
    <col min="14123" max="14356" width="9.140625" style="51"/>
    <col min="14357" max="14357" width="1.140625" style="51" customWidth="1"/>
    <col min="14358" max="14358" width="7.5703125" style="51" customWidth="1"/>
    <col min="14359" max="14373" width="7.140625" style="51" customWidth="1"/>
    <col min="14374" max="14375" width="1.42578125" style="51" customWidth="1"/>
    <col min="14376" max="14376" width="6.42578125" style="51" customWidth="1"/>
    <col min="14377" max="14378" width="8.7109375" style="51" bestFit="1" customWidth="1"/>
    <col min="14379" max="14612" width="9.140625" style="51"/>
    <col min="14613" max="14613" width="1.140625" style="51" customWidth="1"/>
    <col min="14614" max="14614" width="7.5703125" style="51" customWidth="1"/>
    <col min="14615" max="14629" width="7.140625" style="51" customWidth="1"/>
    <col min="14630" max="14631" width="1.42578125" style="51" customWidth="1"/>
    <col min="14632" max="14632" width="6.42578125" style="51" customWidth="1"/>
    <col min="14633" max="14634" width="8.7109375" style="51" bestFit="1" customWidth="1"/>
    <col min="14635" max="14868" width="9.140625" style="51"/>
    <col min="14869" max="14869" width="1.140625" style="51" customWidth="1"/>
    <col min="14870" max="14870" width="7.5703125" style="51" customWidth="1"/>
    <col min="14871" max="14885" width="7.140625" style="51" customWidth="1"/>
    <col min="14886" max="14887" width="1.42578125" style="51" customWidth="1"/>
    <col min="14888" max="14888" width="6.42578125" style="51" customWidth="1"/>
    <col min="14889" max="14890" width="8.7109375" style="51" bestFit="1" customWidth="1"/>
    <col min="14891" max="15124" width="9.140625" style="51"/>
    <col min="15125" max="15125" width="1.140625" style="51" customWidth="1"/>
    <col min="15126" max="15126" width="7.5703125" style="51" customWidth="1"/>
    <col min="15127" max="15141" width="7.140625" style="51" customWidth="1"/>
    <col min="15142" max="15143" width="1.42578125" style="51" customWidth="1"/>
    <col min="15144" max="15144" width="6.42578125" style="51" customWidth="1"/>
    <col min="15145" max="15146" width="8.7109375" style="51" bestFit="1" customWidth="1"/>
    <col min="15147" max="15380" width="9.140625" style="51"/>
    <col min="15381" max="15381" width="1.140625" style="51" customWidth="1"/>
    <col min="15382" max="15382" width="7.5703125" style="51" customWidth="1"/>
    <col min="15383" max="15397" width="7.140625" style="51" customWidth="1"/>
    <col min="15398" max="15399" width="1.42578125" style="51" customWidth="1"/>
    <col min="15400" max="15400" width="6.42578125" style="51" customWidth="1"/>
    <col min="15401" max="15402" width="8.7109375" style="51" bestFit="1" customWidth="1"/>
    <col min="15403" max="15636" width="9.140625" style="51"/>
    <col min="15637" max="15637" width="1.140625" style="51" customWidth="1"/>
    <col min="15638" max="15638" width="7.5703125" style="51" customWidth="1"/>
    <col min="15639" max="15653" width="7.140625" style="51" customWidth="1"/>
    <col min="15654" max="15655" width="1.42578125" style="51" customWidth="1"/>
    <col min="15656" max="15656" width="6.42578125" style="51" customWidth="1"/>
    <col min="15657" max="15658" width="8.7109375" style="51" bestFit="1" customWidth="1"/>
    <col min="15659" max="15892" width="9.140625" style="51"/>
    <col min="15893" max="15893" width="1.140625" style="51" customWidth="1"/>
    <col min="15894" max="15894" width="7.5703125" style="51" customWidth="1"/>
    <col min="15895" max="15909" width="7.140625" style="51" customWidth="1"/>
    <col min="15910" max="15911" width="1.42578125" style="51" customWidth="1"/>
    <col min="15912" max="15912" width="6.42578125" style="51" customWidth="1"/>
    <col min="15913" max="15914" width="8.7109375" style="51" bestFit="1" customWidth="1"/>
    <col min="15915" max="16148" width="9.140625" style="51"/>
    <col min="16149" max="16149" width="1.140625" style="51" customWidth="1"/>
    <col min="16150" max="16150" width="7.5703125" style="51" customWidth="1"/>
    <col min="16151" max="16165" width="7.140625" style="51" customWidth="1"/>
    <col min="16166" max="16167" width="1.42578125" style="51" customWidth="1"/>
    <col min="16168" max="16168" width="6.42578125" style="51" customWidth="1"/>
    <col min="16169" max="16170" width="8.7109375" style="51" bestFit="1" customWidth="1"/>
    <col min="16171" max="16384" width="9.140625" style="51"/>
  </cols>
  <sheetData>
    <row r="1" spans="1:50" ht="18" customHeight="1"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50" ht="33" customHeight="1">
      <c r="B2" s="462" t="s">
        <v>43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</row>
    <row r="3" spans="1:50" ht="9.75" customHeight="1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5"/>
      <c r="AE3" s="55"/>
      <c r="AF3" s="55"/>
      <c r="AG3" s="55"/>
      <c r="AH3" s="56"/>
      <c r="AI3" s="56"/>
      <c r="AJ3" s="57"/>
      <c r="AK3" s="57"/>
      <c r="AO3" s="58"/>
    </row>
    <row r="4" spans="1:50" ht="9.75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5"/>
      <c r="AE4" s="55"/>
      <c r="AF4" s="55"/>
      <c r="AG4" s="55"/>
      <c r="AH4" s="56"/>
      <c r="AI4" s="56"/>
      <c r="AJ4" s="57"/>
      <c r="AK4" s="57"/>
      <c r="AO4" s="58"/>
    </row>
    <row r="5" spans="1:50" s="121" customFormat="1" ht="18" customHeight="1">
      <c r="B5" s="463" t="s">
        <v>16</v>
      </c>
      <c r="C5" s="463"/>
      <c r="D5" s="59" t="s">
        <v>17</v>
      </c>
      <c r="E5" s="346">
        <v>180</v>
      </c>
      <c r="F5" s="346"/>
      <c r="G5" s="60" t="s">
        <v>18</v>
      </c>
      <c r="H5" s="59" t="s">
        <v>19</v>
      </c>
      <c r="I5" s="346">
        <v>8</v>
      </c>
      <c r="J5" s="346"/>
      <c r="K5" s="347" t="s">
        <v>20</v>
      </c>
      <c r="L5" s="347"/>
      <c r="Q5" s="384" t="s">
        <v>25</v>
      </c>
      <c r="R5" s="385"/>
      <c r="X5" s="124"/>
      <c r="AD5" s="125"/>
      <c r="AH5" s="25"/>
      <c r="AI5" s="61">
        <v>0.2</v>
      </c>
      <c r="AJ5" s="26"/>
      <c r="AK5" s="26"/>
      <c r="AL5" s="26"/>
      <c r="AM5" s="26"/>
    </row>
    <row r="6" spans="1:50" s="121" customFormat="1" ht="18" customHeight="1">
      <c r="B6" s="124" t="s">
        <v>23</v>
      </c>
      <c r="C6" s="124"/>
      <c r="D6" s="361">
        <v>60</v>
      </c>
      <c r="E6" s="361"/>
      <c r="F6" s="124"/>
      <c r="Q6" s="33">
        <v>0.2</v>
      </c>
      <c r="R6" s="34">
        <v>1.1000000000000001</v>
      </c>
      <c r="AH6" s="25"/>
      <c r="AI6" s="61">
        <v>0.25</v>
      </c>
      <c r="AJ6" s="28"/>
      <c r="AK6" s="28"/>
      <c r="AL6" s="28"/>
      <c r="AM6" s="28"/>
    </row>
    <row r="7" spans="1:50" s="121" customFormat="1" ht="18" customHeight="1">
      <c r="B7" s="29" t="s">
        <v>26</v>
      </c>
      <c r="D7" s="361">
        <v>16</v>
      </c>
      <c r="E7" s="361"/>
      <c r="F7" s="27"/>
      <c r="G7" s="124" t="s">
        <v>21</v>
      </c>
      <c r="H7" s="124"/>
      <c r="I7" s="62">
        <f>(E5-(3*I9))+(0.866025*I5)</f>
        <v>173.07179353944898</v>
      </c>
      <c r="J7" s="124" t="s">
        <v>22</v>
      </c>
      <c r="K7" s="124"/>
      <c r="N7" s="123"/>
      <c r="O7" s="123"/>
      <c r="P7" s="32"/>
      <c r="Q7" s="33">
        <v>0.25</v>
      </c>
      <c r="R7" s="34">
        <v>1.35</v>
      </c>
      <c r="AD7" s="125"/>
      <c r="AH7" s="25"/>
      <c r="AI7" s="61">
        <v>0.28000000000000003</v>
      </c>
      <c r="AJ7" s="28"/>
      <c r="AK7" s="28"/>
      <c r="AL7" s="28"/>
      <c r="AM7" s="28"/>
    </row>
    <row r="8" spans="1:50" ht="18" customHeight="1">
      <c r="B8" s="54"/>
      <c r="C8" s="54"/>
      <c r="D8" s="54"/>
      <c r="E8" s="54"/>
      <c r="F8" s="54"/>
      <c r="G8" s="464" t="s">
        <v>24</v>
      </c>
      <c r="H8" s="464"/>
      <c r="I8" s="122">
        <v>4</v>
      </c>
      <c r="J8" s="120" t="s">
        <v>22</v>
      </c>
      <c r="K8" s="120"/>
      <c r="N8" s="54"/>
      <c r="O8" s="54"/>
      <c r="P8" s="54"/>
      <c r="Q8" s="33">
        <v>0.28000000000000003</v>
      </c>
      <c r="R8" s="34">
        <v>1.65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5"/>
      <c r="AE8" s="55"/>
      <c r="AF8" s="55"/>
      <c r="AG8" s="55"/>
      <c r="AH8" s="56"/>
      <c r="AI8" s="56"/>
      <c r="AJ8" s="57"/>
      <c r="AK8" s="57"/>
      <c r="AO8" s="58"/>
    </row>
    <row r="9" spans="1:50" ht="18" customHeight="1">
      <c r="B9" s="54"/>
      <c r="C9" s="54"/>
      <c r="D9" s="54"/>
      <c r="E9" s="54"/>
      <c r="F9" s="54"/>
      <c r="G9" s="463" t="s">
        <v>27</v>
      </c>
      <c r="H9" s="463"/>
      <c r="I9" s="119">
        <f>1/(COS(([4]Data!H20/2)*PI()/180))*(I5/2)</f>
        <v>4.6188021535170058</v>
      </c>
      <c r="J9" s="120" t="s">
        <v>22</v>
      </c>
      <c r="K9" s="120"/>
      <c r="N9" s="54"/>
      <c r="O9" s="54"/>
      <c r="P9" s="54"/>
      <c r="Q9" s="33">
        <v>0.45500000000000002</v>
      </c>
      <c r="R9" s="34">
        <v>2.0499999999999998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5"/>
      <c r="AF9" s="55"/>
      <c r="AG9" s="55"/>
      <c r="AH9" s="56"/>
      <c r="AI9" s="56"/>
      <c r="AJ9" s="57"/>
      <c r="AK9" s="57"/>
      <c r="AO9" s="58"/>
    </row>
    <row r="10" spans="1:50" ht="18" customHeight="1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4">
        <v>0.53</v>
      </c>
      <c r="R10" s="34">
        <v>2.5499999999999998</v>
      </c>
      <c r="S10" s="52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7"/>
      <c r="AE10" s="57"/>
      <c r="AF10" s="57"/>
      <c r="AG10" s="57"/>
      <c r="AL10" s="57" t="s">
        <v>44</v>
      </c>
    </row>
    <row r="11" spans="1:50" ht="18" customHeight="1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7" t="s">
        <v>44</v>
      </c>
      <c r="P11" s="54"/>
      <c r="Q11" s="39">
        <v>0.62</v>
      </c>
      <c r="R11" s="34">
        <v>3.2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7"/>
      <c r="AE11" s="57"/>
      <c r="AF11" s="57"/>
      <c r="AG11" s="57"/>
      <c r="AL11" s="57"/>
    </row>
    <row r="12" spans="1:50" ht="21.75">
      <c r="B12" s="465" t="s">
        <v>45</v>
      </c>
      <c r="C12" s="467" t="s">
        <v>46</v>
      </c>
      <c r="D12" s="468"/>
      <c r="E12" s="469"/>
      <c r="F12" s="473" t="s">
        <v>47</v>
      </c>
      <c r="G12" s="474"/>
      <c r="H12" s="475" t="s">
        <v>48</v>
      </c>
      <c r="I12" s="476"/>
      <c r="J12" s="477" t="s">
        <v>49</v>
      </c>
      <c r="K12" s="478"/>
      <c r="L12" s="481" t="s">
        <v>50</v>
      </c>
      <c r="M12" s="483" t="s">
        <v>51</v>
      </c>
      <c r="N12" s="484"/>
      <c r="O12" s="485" t="s">
        <v>52</v>
      </c>
      <c r="Q12" s="39">
        <v>0.72499999999999998</v>
      </c>
      <c r="R12" s="33">
        <v>4</v>
      </c>
      <c r="AV12" s="66"/>
      <c r="AW12" s="66"/>
      <c r="AX12" s="66"/>
    </row>
    <row r="13" spans="1:50" ht="18" customHeight="1">
      <c r="B13" s="466"/>
      <c r="C13" s="470"/>
      <c r="D13" s="471"/>
      <c r="E13" s="472"/>
      <c r="F13" s="487" t="s">
        <v>53</v>
      </c>
      <c r="G13" s="488"/>
      <c r="H13" s="489" t="s">
        <v>54</v>
      </c>
      <c r="I13" s="490"/>
      <c r="J13" s="479"/>
      <c r="K13" s="480"/>
      <c r="L13" s="482"/>
      <c r="M13" s="491" t="s">
        <v>53</v>
      </c>
      <c r="N13" s="492"/>
      <c r="O13" s="486"/>
      <c r="Q13" s="34">
        <v>0.89500000000000002</v>
      </c>
      <c r="R13" s="40"/>
      <c r="AV13" s="66"/>
      <c r="AW13" s="66"/>
      <c r="AX13" s="66"/>
    </row>
    <row r="14" spans="1:50" ht="18" customHeight="1">
      <c r="B14" s="67" t="s">
        <v>55</v>
      </c>
      <c r="C14" s="495" t="s">
        <v>33</v>
      </c>
      <c r="D14" s="496"/>
      <c r="E14" s="497"/>
      <c r="F14" s="504">
        <f>[4]Data!AF26</f>
        <v>1.9999999999242846E-5</v>
      </c>
      <c r="G14" s="505"/>
      <c r="H14" s="500" t="s">
        <v>56</v>
      </c>
      <c r="I14" s="501"/>
      <c r="J14" s="500">
        <v>1</v>
      </c>
      <c r="K14" s="501"/>
      <c r="L14" s="67">
        <v>1</v>
      </c>
      <c r="M14" s="502">
        <f>F14/J14</f>
        <v>1.9999999999242846E-5</v>
      </c>
      <c r="N14" s="503"/>
      <c r="O14" s="68">
        <v>2</v>
      </c>
      <c r="AO14" s="69"/>
      <c r="AV14" s="66"/>
      <c r="AW14" s="66"/>
      <c r="AX14" s="66"/>
    </row>
    <row r="15" spans="1:50" ht="18" customHeight="1">
      <c r="B15" s="70" t="s">
        <v>57</v>
      </c>
      <c r="C15" s="495" t="s">
        <v>58</v>
      </c>
      <c r="D15" s="496"/>
      <c r="E15" s="497"/>
      <c r="F15" s="498">
        <f>'[4]Cert of STD'!AD6</f>
        <v>2E-3</v>
      </c>
      <c r="G15" s="499"/>
      <c r="H15" s="500" t="s">
        <v>56</v>
      </c>
      <c r="I15" s="501"/>
      <c r="J15" s="500">
        <v>2</v>
      </c>
      <c r="K15" s="501"/>
      <c r="L15" s="67">
        <v>1</v>
      </c>
      <c r="M15" s="502">
        <f>F15/2</f>
        <v>1E-3</v>
      </c>
      <c r="N15" s="503"/>
      <c r="O15" s="71"/>
      <c r="Q15" s="7"/>
      <c r="R15" s="506" t="s">
        <v>149</v>
      </c>
      <c r="S15" s="493" t="s">
        <v>150</v>
      </c>
      <c r="T15" s="494"/>
      <c r="U15" s="7"/>
      <c r="V15" s="7"/>
      <c r="W15" s="7"/>
      <c r="X15" s="7"/>
      <c r="AO15" s="69"/>
      <c r="AV15" s="66"/>
      <c r="AW15" s="66"/>
      <c r="AX15" s="66"/>
    </row>
    <row r="16" spans="1:50" ht="18" customHeight="1">
      <c r="A16" s="66"/>
      <c r="B16" s="70" t="s">
        <v>59</v>
      </c>
      <c r="C16" s="495" t="s">
        <v>60</v>
      </c>
      <c r="D16" s="496"/>
      <c r="E16" s="497"/>
      <c r="F16" s="498">
        <f>'[4]Cert of STD'!F21</f>
        <v>3.8999999999999999E-4</v>
      </c>
      <c r="G16" s="499"/>
      <c r="H16" s="500" t="s">
        <v>56</v>
      </c>
      <c r="I16" s="501"/>
      <c r="J16" s="500">
        <v>2</v>
      </c>
      <c r="K16" s="501"/>
      <c r="L16" s="67">
        <v>1</v>
      </c>
      <c r="M16" s="502">
        <f>F16/J16</f>
        <v>1.95E-4</v>
      </c>
      <c r="N16" s="503"/>
      <c r="O16" s="71"/>
      <c r="Q16" s="7"/>
      <c r="R16" s="506"/>
      <c r="S16" s="494"/>
      <c r="T16" s="494"/>
      <c r="U16" s="7"/>
      <c r="V16" s="7"/>
      <c r="W16" s="7"/>
      <c r="X16" s="7"/>
      <c r="AO16" s="69"/>
      <c r="AV16" s="66"/>
      <c r="AW16" s="66"/>
      <c r="AX16" s="66"/>
    </row>
    <row r="17" spans="1:50" ht="18" customHeight="1">
      <c r="A17" s="66"/>
      <c r="B17" s="70" t="s">
        <v>61</v>
      </c>
      <c r="C17" s="495" t="s">
        <v>62</v>
      </c>
      <c r="D17" s="496"/>
      <c r="E17" s="497"/>
      <c r="F17" s="507">
        <f>(V18*1000)*2</f>
        <v>3.2646773226384932E-4</v>
      </c>
      <c r="G17" s="508"/>
      <c r="H17" s="500" t="s">
        <v>63</v>
      </c>
      <c r="I17" s="501"/>
      <c r="J17" s="509" t="s">
        <v>64</v>
      </c>
      <c r="K17" s="510"/>
      <c r="L17" s="67">
        <v>1</v>
      </c>
      <c r="M17" s="511">
        <f>F17/SQRT(3)</f>
        <v>1.8848623310426009E-4</v>
      </c>
      <c r="N17" s="512"/>
      <c r="O17" s="71"/>
      <c r="Q17" s="7"/>
      <c r="R17" s="7"/>
      <c r="S17" s="264" t="s">
        <v>151</v>
      </c>
      <c r="T17" s="494" t="s">
        <v>152</v>
      </c>
      <c r="U17" s="494"/>
      <c r="V17" s="494"/>
      <c r="W17" s="7"/>
      <c r="X17" s="7"/>
      <c r="AO17" s="69"/>
      <c r="AV17" s="66"/>
      <c r="AW17" s="66"/>
      <c r="AX17" s="66"/>
    </row>
    <row r="18" spans="1:50" s="66" customFormat="1" ht="18" customHeight="1">
      <c r="B18" s="70" t="s">
        <v>169</v>
      </c>
      <c r="C18" s="495" t="s">
        <v>153</v>
      </c>
      <c r="D18" s="496"/>
      <c r="E18" s="497"/>
      <c r="F18" s="513">
        <v>1.0000000000000001E-5</v>
      </c>
      <c r="G18" s="514"/>
      <c r="H18" s="500" t="s">
        <v>63</v>
      </c>
      <c r="I18" s="501"/>
      <c r="J18" s="509" t="s">
        <v>69</v>
      </c>
      <c r="K18" s="510"/>
      <c r="L18" s="67">
        <v>1</v>
      </c>
      <c r="M18" s="502">
        <f>(F18/2)/SQRT(3)</f>
        <v>2.8867513459481293E-6</v>
      </c>
      <c r="N18" s="503"/>
      <c r="O18" s="71"/>
      <c r="Q18" s="7"/>
      <c r="R18" s="8" t="s">
        <v>154</v>
      </c>
      <c r="S18" s="255">
        <f>((((9*V20^2)/(8*(T21/1000)))*(((1-W22^2)/(4*10^11))+((1-U22^2)/(2*10^11)))^2)^(1/3))</f>
        <v>8.1616933065962311E-8</v>
      </c>
      <c r="T18" s="8"/>
      <c r="U18" s="256" t="s">
        <v>155</v>
      </c>
      <c r="V18" s="257">
        <f>(SIN((60/2)*PI()/180)^(-5/3))*(0.5^(2/3))*S18</f>
        <v>1.6323386613192465E-7</v>
      </c>
      <c r="W18" s="7"/>
      <c r="X18" s="7"/>
      <c r="AO18" s="72"/>
    </row>
    <row r="19" spans="1:50" s="66" customFormat="1" ht="18" customHeight="1">
      <c r="B19" s="70" t="s">
        <v>67</v>
      </c>
      <c r="C19" s="495" t="s">
        <v>73</v>
      </c>
      <c r="D19" s="496"/>
      <c r="E19" s="497"/>
      <c r="F19" s="498">
        <f>(COS((D6/2)*PI()/180)/(SIN((D6/2)*PI()/180))^2)*((I8/1000)-(I9/1000))</f>
        <v>-2.1435935394489799E-3</v>
      </c>
      <c r="G19" s="499"/>
      <c r="H19" s="500" t="s">
        <v>63</v>
      </c>
      <c r="I19" s="501"/>
      <c r="J19" s="509" t="s">
        <v>64</v>
      </c>
      <c r="K19" s="510"/>
      <c r="L19" s="67">
        <v>1</v>
      </c>
      <c r="M19" s="511">
        <f>F19*((2*3.14)/360)*(15/60)*(1/SQRT(3))*1000</f>
        <v>-5.3973298945649952E-3</v>
      </c>
      <c r="N19" s="512"/>
      <c r="O19" s="71"/>
      <c r="Q19" s="7"/>
      <c r="R19" s="7"/>
      <c r="S19" s="8"/>
      <c r="T19" s="8"/>
      <c r="U19" s="8"/>
      <c r="V19" s="8"/>
      <c r="W19" s="7"/>
      <c r="X19" s="7"/>
      <c r="AO19" s="72"/>
      <c r="AV19" s="51"/>
      <c r="AW19" s="51"/>
      <c r="AX19" s="51"/>
    </row>
    <row r="20" spans="1:50" s="66" customFormat="1" ht="18" customHeight="1">
      <c r="B20" s="70" t="s">
        <v>70</v>
      </c>
      <c r="C20" s="495" t="s">
        <v>75</v>
      </c>
      <c r="D20" s="496"/>
      <c r="E20" s="497"/>
      <c r="F20" s="517">
        <v>2.0000000000000002E-5</v>
      </c>
      <c r="G20" s="518"/>
      <c r="H20" s="500" t="s">
        <v>63</v>
      </c>
      <c r="I20" s="501"/>
      <c r="J20" s="509" t="s">
        <v>64</v>
      </c>
      <c r="K20" s="510"/>
      <c r="L20" s="67">
        <v>1</v>
      </c>
      <c r="M20" s="519">
        <f>F20/SQRT(3)</f>
        <v>1.1547005383792517E-5</v>
      </c>
      <c r="N20" s="520"/>
      <c r="O20" s="71"/>
      <c r="Q20" s="258" t="s">
        <v>156</v>
      </c>
      <c r="R20" s="7" t="s">
        <v>157</v>
      </c>
      <c r="S20" s="7"/>
      <c r="T20" s="7"/>
      <c r="U20" s="7"/>
      <c r="V20" s="7">
        <v>0.2</v>
      </c>
      <c r="W20" s="7"/>
      <c r="X20" s="259"/>
      <c r="AO20" s="72"/>
      <c r="AV20" s="51"/>
      <c r="AW20" s="51"/>
      <c r="AX20" s="51"/>
    </row>
    <row r="21" spans="1:50" s="66" customFormat="1" ht="18" customHeight="1">
      <c r="B21" s="70" t="s">
        <v>72</v>
      </c>
      <c r="C21" s="495" t="s">
        <v>77</v>
      </c>
      <c r="D21" s="496"/>
      <c r="E21" s="497"/>
      <c r="F21" s="498">
        <f>((I5)*(11.5*10^-6)*1)</f>
        <v>9.2E-5</v>
      </c>
      <c r="G21" s="499"/>
      <c r="H21" s="500" t="s">
        <v>63</v>
      </c>
      <c r="I21" s="501"/>
      <c r="J21" s="509" t="s">
        <v>64</v>
      </c>
      <c r="K21" s="510"/>
      <c r="L21" s="67">
        <v>1</v>
      </c>
      <c r="M21" s="515">
        <f>F21/SQRT(3)</f>
        <v>5.3116224765445572E-5</v>
      </c>
      <c r="N21" s="516"/>
      <c r="O21" s="71"/>
      <c r="Q21" s="260" t="s">
        <v>158</v>
      </c>
      <c r="R21" s="7" t="s">
        <v>159</v>
      </c>
      <c r="S21" s="7"/>
      <c r="T21" s="7">
        <f>I8</f>
        <v>4</v>
      </c>
      <c r="U21" s="7"/>
      <c r="V21" s="7"/>
      <c r="W21" s="7"/>
      <c r="X21" s="7"/>
      <c r="AO21" s="72"/>
      <c r="AV21" s="51"/>
      <c r="AW21" s="51"/>
      <c r="AX21" s="51"/>
    </row>
    <row r="22" spans="1:50" s="66" customFormat="1" ht="18" customHeight="1">
      <c r="B22" s="70" t="s">
        <v>78</v>
      </c>
      <c r="C22" s="495" t="s">
        <v>79</v>
      </c>
      <c r="D22" s="496"/>
      <c r="E22" s="497"/>
      <c r="F22" s="500"/>
      <c r="G22" s="501"/>
      <c r="H22" s="500" t="s">
        <v>56</v>
      </c>
      <c r="I22" s="501"/>
      <c r="J22" s="521"/>
      <c r="K22" s="522"/>
      <c r="L22" s="73"/>
      <c r="M22" s="511">
        <f>SQRT(M14^2+M15^2+M16^2+M17^2+M18^2+M19^2+M20^2+M21^2)</f>
        <v>5.4961882292034704E-3</v>
      </c>
      <c r="N22" s="512"/>
      <c r="O22" s="71">
        <f>(M22^4)/(((IF(M14&lt;=0,0.001,M14)^4)/9))</f>
        <v>51329722644.936707</v>
      </c>
      <c r="Q22" s="258" t="s">
        <v>160</v>
      </c>
      <c r="R22" s="7" t="s">
        <v>161</v>
      </c>
      <c r="S22" s="7"/>
      <c r="T22" s="258" t="s">
        <v>162</v>
      </c>
      <c r="U22" s="261">
        <v>0.28000000000000003</v>
      </c>
      <c r="V22" s="258" t="s">
        <v>163</v>
      </c>
      <c r="W22" s="261">
        <v>0.25</v>
      </c>
      <c r="X22" s="13"/>
      <c r="AO22" s="72"/>
      <c r="AV22" s="51"/>
      <c r="AW22" s="51"/>
      <c r="AX22" s="51"/>
    </row>
    <row r="23" spans="1:50" s="66" customFormat="1" ht="18" customHeight="1">
      <c r="B23" s="70" t="s">
        <v>80</v>
      </c>
      <c r="C23" s="495" t="s">
        <v>81</v>
      </c>
      <c r="D23" s="496"/>
      <c r="E23" s="497"/>
      <c r="F23" s="500"/>
      <c r="G23" s="501"/>
      <c r="H23" s="500" t="s">
        <v>82</v>
      </c>
      <c r="I23" s="501"/>
      <c r="J23" s="521"/>
      <c r="K23" s="522"/>
      <c r="L23" s="73"/>
      <c r="M23" s="523">
        <f>M22*O23*1000</f>
        <v>10.992376458406941</v>
      </c>
      <c r="N23" s="524"/>
      <c r="O23" s="74" t="str">
        <f>IF(O22&gt;0,"2.00",TINV(0.0455,O22))</f>
        <v>2.00</v>
      </c>
      <c r="Q23" s="262" t="s">
        <v>164</v>
      </c>
      <c r="R23" s="263" t="s">
        <v>165</v>
      </c>
      <c r="S23" s="7"/>
      <c r="T23" s="258" t="s">
        <v>162</v>
      </c>
      <c r="U23" s="7" t="s">
        <v>166</v>
      </c>
      <c r="V23" s="258" t="s">
        <v>163</v>
      </c>
      <c r="W23" s="7" t="s">
        <v>167</v>
      </c>
      <c r="X23" s="7" t="s">
        <v>168</v>
      </c>
      <c r="AO23" s="72"/>
      <c r="AV23" s="51"/>
      <c r="AW23" s="51"/>
      <c r="AX23" s="51"/>
    </row>
    <row r="24" spans="1:50" s="66" customFormat="1" ht="18" hidden="1" customHeight="1">
      <c r="B24" s="75">
        <v>25</v>
      </c>
      <c r="C24" s="76">
        <v>0</v>
      </c>
      <c r="D24" s="77">
        <f t="shared" ref="D24:D39" si="0">C24/1</f>
        <v>0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8">
        <f>'[4]Cert of STD'!J18</f>
        <v>1.2</v>
      </c>
      <c r="Q24" s="79">
        <f t="shared" ref="Q24:Q39" si="1">P24/2</f>
        <v>0.6</v>
      </c>
      <c r="R24" s="78">
        <f>'[4]Cert of STD'!D14</f>
        <v>0.27</v>
      </c>
      <c r="S24" s="79">
        <f t="shared" ref="S24:S39" si="2">R24/2</f>
        <v>0.13500000000000001</v>
      </c>
      <c r="T24" s="80">
        <f t="shared" ref="T24" si="3">Y52*2</f>
        <v>0</v>
      </c>
      <c r="U24" s="81">
        <f t="shared" ref="U24:U39" si="4">T24/SQRT(3)</f>
        <v>0</v>
      </c>
      <c r="V24" s="82">
        <f>(1/16)*[4]Data!E28</f>
        <v>0</v>
      </c>
      <c r="W24" s="81">
        <f t="shared" ref="W24:Y39" si="5">(V24/SQRT(3))</f>
        <v>0</v>
      </c>
      <c r="X24" s="76" t="e">
        <f>#REF!</f>
        <v>#REF!</v>
      </c>
      <c r="Y24" s="81" t="e">
        <f t="shared" si="5"/>
        <v>#REF!</v>
      </c>
      <c r="Z24" s="81">
        <v>1</v>
      </c>
      <c r="AA24" s="83">
        <f t="shared" ref="AA24:AA39" si="6">Z24/SQRT(3)</f>
        <v>0.57735026918962584</v>
      </c>
      <c r="AB24" s="77" t="e">
        <f>#REF!</f>
        <v>#REF!</v>
      </c>
      <c r="AC24" s="84" t="e">
        <f t="shared" ref="AC24:AC39" si="7">AB24*((2*3.14)/360)*(15/60)*(1/SQRT(3))*10^6</f>
        <v>#REF!</v>
      </c>
      <c r="AD24" s="83" t="e">
        <f>#REF!</f>
        <v>#REF!</v>
      </c>
      <c r="AE24" s="83" t="e">
        <f t="shared" ref="AE24:AE39" si="8">AD24/SQRT(3)</f>
        <v>#REF!</v>
      </c>
      <c r="AF24" s="85">
        <f>((0.7)*(11.5*10^-6)*1)</f>
        <v>8.0499999999999992E-6</v>
      </c>
      <c r="AG24" s="77">
        <f t="shared" ref="AG24:AG39" si="9">AF24/SQRT(3)</f>
        <v>4.647669666976487E-6</v>
      </c>
      <c r="AH24" s="77" t="e">
        <f t="shared" ref="AH24:AH39" si="10">SQRT(D24^2+Q24^2+S24^2+U24^2+W24^2+Y24^2+AA24^2+AC24^2+AE24^2+AG24^2)</f>
        <v>#REF!</v>
      </c>
      <c r="AI24" s="86">
        <f t="shared" ref="AI24:AI39" si="11">D24/1</f>
        <v>0</v>
      </c>
      <c r="AJ24" s="71" t="e">
        <f t="shared" ref="AJ24:AJ39" si="12">(AH24^4)/(((IF(AI24&lt;=0,0.001,AI24)^4)/9))</f>
        <v>#REF!</v>
      </c>
      <c r="AK24" s="74" t="e">
        <f t="shared" ref="AK24:AK39" si="13">IF(AJ24&gt;0,"2.00",TINV(0.0455,AJ24))</f>
        <v>#REF!</v>
      </c>
      <c r="AL24" s="87" t="e">
        <f t="shared" ref="AL24:AL39" si="14">AH24*2</f>
        <v>#REF!</v>
      </c>
      <c r="AO24" s="72"/>
      <c r="AV24" s="51"/>
      <c r="AW24" s="51"/>
      <c r="AX24" s="51"/>
    </row>
    <row r="25" spans="1:50" s="66" customFormat="1" ht="18" hidden="1" customHeight="1">
      <c r="B25" s="75">
        <v>30</v>
      </c>
      <c r="C25" s="76">
        <v>0</v>
      </c>
      <c r="D25" s="77">
        <f t="shared" si="0"/>
        <v>0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>
        <f>'[4]Cert of STD'!J20</f>
        <v>1.4</v>
      </c>
      <c r="Q25" s="79">
        <f t="shared" si="1"/>
        <v>0.7</v>
      </c>
      <c r="R25" s="78">
        <f>'[4]Cert of STD'!D14</f>
        <v>0.27</v>
      </c>
      <c r="S25" s="79">
        <f t="shared" si="2"/>
        <v>0.13500000000000001</v>
      </c>
      <c r="T25" s="80" t="e">
        <f>#REF!*2</f>
        <v>#REF!</v>
      </c>
      <c r="U25" s="81" t="e">
        <f t="shared" si="4"/>
        <v>#REF!</v>
      </c>
      <c r="V25" s="82">
        <f>(1/16)*[4]Data!E29</f>
        <v>0</v>
      </c>
      <c r="W25" s="81">
        <f t="shared" si="5"/>
        <v>0</v>
      </c>
      <c r="X25" s="76" t="e">
        <f t="shared" ref="X25:X29" si="15">X24</f>
        <v>#REF!</v>
      </c>
      <c r="Y25" s="81" t="e">
        <f t="shared" si="5"/>
        <v>#REF!</v>
      </c>
      <c r="Z25" s="81">
        <v>1</v>
      </c>
      <c r="AA25" s="83">
        <f t="shared" si="6"/>
        <v>0.57735026918962584</v>
      </c>
      <c r="AB25" s="77" t="e">
        <f t="shared" ref="AB25:AB29" si="16">AB24</f>
        <v>#REF!</v>
      </c>
      <c r="AC25" s="84" t="e">
        <f t="shared" si="7"/>
        <v>#REF!</v>
      </c>
      <c r="AD25" s="83" t="e">
        <f t="shared" ref="AD25:AD28" si="17">AD24</f>
        <v>#REF!</v>
      </c>
      <c r="AE25" s="83" t="e">
        <f t="shared" si="8"/>
        <v>#REF!</v>
      </c>
      <c r="AF25" s="85">
        <f>((0.75)*(11.5*10^-6)*1)</f>
        <v>8.6249999999999996E-6</v>
      </c>
      <c r="AG25" s="77">
        <f t="shared" si="9"/>
        <v>4.9796460717605226E-6</v>
      </c>
      <c r="AH25" s="77" t="e">
        <f t="shared" si="10"/>
        <v>#REF!</v>
      </c>
      <c r="AI25" s="86">
        <f t="shared" si="11"/>
        <v>0</v>
      </c>
      <c r="AJ25" s="71" t="e">
        <f t="shared" si="12"/>
        <v>#REF!</v>
      </c>
      <c r="AK25" s="74" t="e">
        <f t="shared" si="13"/>
        <v>#REF!</v>
      </c>
      <c r="AL25" s="87" t="e">
        <f t="shared" si="14"/>
        <v>#REF!</v>
      </c>
      <c r="AO25" s="72"/>
      <c r="AV25" s="51"/>
      <c r="AW25" s="51"/>
      <c r="AX25" s="51"/>
    </row>
    <row r="26" spans="1:50" s="66" customFormat="1" ht="18" hidden="1" customHeight="1">
      <c r="B26" s="75">
        <v>75</v>
      </c>
      <c r="C26" s="76">
        <v>0</v>
      </c>
      <c r="D26" s="77">
        <f t="shared" si="0"/>
        <v>0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>
        <f>'[4]Cert of STD'!J21</f>
        <v>2.8</v>
      </c>
      <c r="Q26" s="79">
        <f t="shared" si="1"/>
        <v>1.4</v>
      </c>
      <c r="R26" s="78">
        <f>'[4]Cert of STD'!D19</f>
        <v>0.39</v>
      </c>
      <c r="S26" s="79">
        <f t="shared" si="2"/>
        <v>0.19500000000000001</v>
      </c>
      <c r="T26" s="80" t="e">
        <f>#REF!*2</f>
        <v>#REF!</v>
      </c>
      <c r="U26" s="81" t="e">
        <f t="shared" si="4"/>
        <v>#REF!</v>
      </c>
      <c r="V26" s="82">
        <f>(1/16)*[4]Data!E30</f>
        <v>0</v>
      </c>
      <c r="W26" s="81">
        <f t="shared" si="5"/>
        <v>0</v>
      </c>
      <c r="X26" s="76" t="e">
        <f t="shared" si="15"/>
        <v>#REF!</v>
      </c>
      <c r="Y26" s="81" t="e">
        <f t="shared" si="5"/>
        <v>#REF!</v>
      </c>
      <c r="Z26" s="81">
        <v>1</v>
      </c>
      <c r="AA26" s="83">
        <f t="shared" si="6"/>
        <v>0.57735026918962584</v>
      </c>
      <c r="AB26" s="77" t="e">
        <f t="shared" si="16"/>
        <v>#REF!</v>
      </c>
      <c r="AC26" s="84" t="e">
        <f t="shared" si="7"/>
        <v>#REF!</v>
      </c>
      <c r="AD26" s="83" t="e">
        <f t="shared" si="17"/>
        <v>#REF!</v>
      </c>
      <c r="AE26" s="83" t="e">
        <f t="shared" si="8"/>
        <v>#REF!</v>
      </c>
      <c r="AF26" s="85">
        <f>((0.8)*(11.5*10^-6)*1)</f>
        <v>9.2E-6</v>
      </c>
      <c r="AG26" s="77">
        <f t="shared" si="9"/>
        <v>5.3116224765445574E-6</v>
      </c>
      <c r="AH26" s="77" t="e">
        <f t="shared" si="10"/>
        <v>#REF!</v>
      </c>
      <c r="AI26" s="86">
        <f t="shared" si="11"/>
        <v>0</v>
      </c>
      <c r="AJ26" s="71" t="e">
        <f t="shared" si="12"/>
        <v>#REF!</v>
      </c>
      <c r="AK26" s="74" t="e">
        <f t="shared" si="13"/>
        <v>#REF!</v>
      </c>
      <c r="AL26" s="87" t="e">
        <f t="shared" si="14"/>
        <v>#REF!</v>
      </c>
      <c r="AO26" s="72"/>
      <c r="AV26" s="51"/>
      <c r="AW26" s="51"/>
      <c r="AX26" s="51"/>
    </row>
    <row r="27" spans="1:50" s="66" customFormat="1" ht="18" hidden="1" customHeight="1">
      <c r="B27" s="75">
        <v>90</v>
      </c>
      <c r="C27" s="76">
        <v>0</v>
      </c>
      <c r="D27" s="77">
        <f t="shared" si="0"/>
        <v>0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8">
        <f t="shared" ref="P27:P29" si="18">P26</f>
        <v>2.8</v>
      </c>
      <c r="Q27" s="79">
        <f t="shared" si="1"/>
        <v>1.4</v>
      </c>
      <c r="R27" s="78">
        <f>'[4]Cert of STD'!D20</f>
        <v>0.39</v>
      </c>
      <c r="S27" s="79">
        <f t="shared" si="2"/>
        <v>0.19500000000000001</v>
      </c>
      <c r="T27" s="80" t="e">
        <f>#REF!*2</f>
        <v>#REF!</v>
      </c>
      <c r="U27" s="81" t="e">
        <f t="shared" si="4"/>
        <v>#REF!</v>
      </c>
      <c r="V27" s="82">
        <f>(1/16)*[4]Data!E31</f>
        <v>0</v>
      </c>
      <c r="W27" s="81">
        <f t="shared" si="5"/>
        <v>0</v>
      </c>
      <c r="X27" s="76" t="e">
        <f t="shared" si="15"/>
        <v>#REF!</v>
      </c>
      <c r="Y27" s="81" t="e">
        <f t="shared" si="5"/>
        <v>#REF!</v>
      </c>
      <c r="Z27" s="81">
        <v>1</v>
      </c>
      <c r="AA27" s="83">
        <f t="shared" si="6"/>
        <v>0.57735026918962584</v>
      </c>
      <c r="AB27" s="77" t="e">
        <f t="shared" si="16"/>
        <v>#REF!</v>
      </c>
      <c r="AC27" s="84" t="e">
        <f t="shared" si="7"/>
        <v>#REF!</v>
      </c>
      <c r="AD27" s="83" t="e">
        <f t="shared" si="17"/>
        <v>#REF!</v>
      </c>
      <c r="AE27" s="83" t="e">
        <f t="shared" si="8"/>
        <v>#REF!</v>
      </c>
      <c r="AF27" s="85">
        <f>((1)*(11.5*10^-6)*1)</f>
        <v>1.15E-5</v>
      </c>
      <c r="AG27" s="77">
        <f t="shared" si="9"/>
        <v>6.6395280956806965E-6</v>
      </c>
      <c r="AH27" s="77" t="e">
        <f t="shared" si="10"/>
        <v>#REF!</v>
      </c>
      <c r="AI27" s="86">
        <f t="shared" si="11"/>
        <v>0</v>
      </c>
      <c r="AJ27" s="71" t="e">
        <f t="shared" si="12"/>
        <v>#REF!</v>
      </c>
      <c r="AK27" s="74" t="e">
        <f t="shared" si="13"/>
        <v>#REF!</v>
      </c>
      <c r="AL27" s="87" t="e">
        <f t="shared" si="14"/>
        <v>#REF!</v>
      </c>
      <c r="AV27" s="51"/>
      <c r="AW27" s="51"/>
      <c r="AX27" s="51"/>
    </row>
    <row r="28" spans="1:50" s="66" customFormat="1" ht="18" hidden="1" customHeight="1">
      <c r="B28" s="75">
        <v>100</v>
      </c>
      <c r="C28" s="76">
        <v>0</v>
      </c>
      <c r="D28" s="77">
        <f t="shared" si="0"/>
        <v>0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8">
        <f t="shared" si="18"/>
        <v>2.8</v>
      </c>
      <c r="Q28" s="79">
        <f t="shared" si="1"/>
        <v>1.4</v>
      </c>
      <c r="R28" s="78">
        <f>'[4]Cert of STD'!D21</f>
        <v>0.39</v>
      </c>
      <c r="S28" s="79">
        <f t="shared" si="2"/>
        <v>0.19500000000000001</v>
      </c>
      <c r="T28" s="80" t="e">
        <f>#REF!*2</f>
        <v>#REF!</v>
      </c>
      <c r="U28" s="81" t="e">
        <f t="shared" si="4"/>
        <v>#REF!</v>
      </c>
      <c r="V28" s="82">
        <f>(1/16)*[4]Data!E32</f>
        <v>0</v>
      </c>
      <c r="W28" s="81">
        <f t="shared" si="5"/>
        <v>0</v>
      </c>
      <c r="X28" s="76" t="e">
        <f t="shared" si="15"/>
        <v>#REF!</v>
      </c>
      <c r="Y28" s="81" t="e">
        <f t="shared" si="5"/>
        <v>#REF!</v>
      </c>
      <c r="Z28" s="81">
        <v>1</v>
      </c>
      <c r="AA28" s="83">
        <f t="shared" si="6"/>
        <v>0.57735026918962584</v>
      </c>
      <c r="AB28" s="77" t="e">
        <f t="shared" si="16"/>
        <v>#REF!</v>
      </c>
      <c r="AC28" s="84" t="e">
        <f t="shared" si="7"/>
        <v>#REF!</v>
      </c>
      <c r="AD28" s="83" t="e">
        <f t="shared" si="17"/>
        <v>#REF!</v>
      </c>
      <c r="AE28" s="83" t="e">
        <f t="shared" si="8"/>
        <v>#REF!</v>
      </c>
      <c r="AF28" s="85">
        <f>((1.25)*(11.5*10^-6)*1)</f>
        <v>1.4375E-5</v>
      </c>
      <c r="AG28" s="77">
        <f t="shared" si="9"/>
        <v>8.2994101196008704E-6</v>
      </c>
      <c r="AH28" s="77" t="e">
        <f t="shared" si="10"/>
        <v>#REF!</v>
      </c>
      <c r="AI28" s="86">
        <f t="shared" si="11"/>
        <v>0</v>
      </c>
      <c r="AJ28" s="71" t="e">
        <f t="shared" si="12"/>
        <v>#REF!</v>
      </c>
      <c r="AK28" s="74" t="e">
        <f t="shared" si="13"/>
        <v>#REF!</v>
      </c>
      <c r="AL28" s="87" t="e">
        <f t="shared" si="14"/>
        <v>#REF!</v>
      </c>
      <c r="AV28" s="51"/>
      <c r="AW28" s="51"/>
      <c r="AX28" s="51"/>
    </row>
    <row r="29" spans="1:50" s="66" customFormat="1" ht="18" hidden="1" customHeight="1">
      <c r="A29" s="51"/>
      <c r="B29" s="75">
        <v>125</v>
      </c>
      <c r="C29" s="76">
        <v>0</v>
      </c>
      <c r="D29" s="77">
        <f t="shared" si="0"/>
        <v>0</v>
      </c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8">
        <f t="shared" si="18"/>
        <v>2.8</v>
      </c>
      <c r="Q29" s="79">
        <f t="shared" si="1"/>
        <v>1.4</v>
      </c>
      <c r="R29" s="78">
        <f>'[4]Cert of STD'!D21</f>
        <v>0.39</v>
      </c>
      <c r="S29" s="79">
        <f t="shared" si="2"/>
        <v>0.19500000000000001</v>
      </c>
      <c r="T29" s="80" t="e">
        <f>#REF!*2</f>
        <v>#REF!</v>
      </c>
      <c r="U29" s="81" t="e">
        <f t="shared" si="4"/>
        <v>#REF!</v>
      </c>
      <c r="V29" s="82">
        <f>(1/16)*[4]Data!E33</f>
        <v>0</v>
      </c>
      <c r="W29" s="81">
        <f t="shared" si="5"/>
        <v>0</v>
      </c>
      <c r="X29" s="76" t="e">
        <f t="shared" si="15"/>
        <v>#REF!</v>
      </c>
      <c r="Y29" s="81" t="e">
        <f t="shared" si="5"/>
        <v>#REF!</v>
      </c>
      <c r="Z29" s="81">
        <v>1</v>
      </c>
      <c r="AA29" s="83">
        <f t="shared" si="6"/>
        <v>0.57735026918962584</v>
      </c>
      <c r="AB29" s="77" t="e">
        <f t="shared" si="16"/>
        <v>#REF!</v>
      </c>
      <c r="AC29" s="84" t="e">
        <f t="shared" si="7"/>
        <v>#REF!</v>
      </c>
      <c r="AD29" s="83" t="e">
        <f>AD28</f>
        <v>#REF!</v>
      </c>
      <c r="AE29" s="83" t="e">
        <f t="shared" si="8"/>
        <v>#REF!</v>
      </c>
      <c r="AF29" s="85">
        <f>(([4]Data!L31)*(11.5*10^-6)*1)</f>
        <v>1.15011845E-4</v>
      </c>
      <c r="AG29" s="77">
        <f t="shared" si="9"/>
        <v>6.6402119670745514E-5</v>
      </c>
      <c r="AH29" s="77" t="e">
        <f t="shared" si="10"/>
        <v>#REF!</v>
      </c>
      <c r="AI29" s="86">
        <f t="shared" si="11"/>
        <v>0</v>
      </c>
      <c r="AJ29" s="71" t="e">
        <f t="shared" si="12"/>
        <v>#REF!</v>
      </c>
      <c r="AK29" s="74" t="e">
        <f t="shared" si="13"/>
        <v>#REF!</v>
      </c>
      <c r="AL29" s="87" t="e">
        <f t="shared" si="14"/>
        <v>#REF!</v>
      </c>
      <c r="AV29" s="51"/>
      <c r="AW29" s="51"/>
      <c r="AX29" s="51"/>
    </row>
    <row r="30" spans="1:50" s="66" customFormat="1" ht="18" hidden="1" customHeight="1">
      <c r="A30" s="51"/>
      <c r="B30" s="75">
        <v>150</v>
      </c>
      <c r="C30" s="76">
        <v>0</v>
      </c>
      <c r="D30" s="77">
        <f t="shared" si="0"/>
        <v>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>
        <f>P29</f>
        <v>2.8</v>
      </c>
      <c r="Q30" s="79">
        <f t="shared" si="1"/>
        <v>1.4</v>
      </c>
      <c r="R30" s="78">
        <f>'[4]Cert of STD'!D21</f>
        <v>0.39</v>
      </c>
      <c r="S30" s="79">
        <f t="shared" si="2"/>
        <v>0.19500000000000001</v>
      </c>
      <c r="T30" s="80" t="e">
        <f>#REF!*2</f>
        <v>#REF!</v>
      </c>
      <c r="U30" s="81" t="e">
        <f t="shared" si="4"/>
        <v>#REF!</v>
      </c>
      <c r="V30" s="82">
        <f>(1/16)*[4]Data!E34</f>
        <v>0</v>
      </c>
      <c r="W30" s="81">
        <f t="shared" si="5"/>
        <v>0</v>
      </c>
      <c r="X30" s="76" t="e">
        <f>X29</f>
        <v>#REF!</v>
      </c>
      <c r="Y30" s="81" t="e">
        <f t="shared" si="5"/>
        <v>#REF!</v>
      </c>
      <c r="Z30" s="81">
        <v>1</v>
      </c>
      <c r="AA30" s="83">
        <f t="shared" si="6"/>
        <v>0.57735026918962584</v>
      </c>
      <c r="AB30" s="77" t="e">
        <f>AB29</f>
        <v>#REF!</v>
      </c>
      <c r="AC30" s="84" t="e">
        <f t="shared" si="7"/>
        <v>#REF!</v>
      </c>
      <c r="AD30" s="83" t="e">
        <f>AD29</f>
        <v>#REF!</v>
      </c>
      <c r="AE30" s="83" t="e">
        <f t="shared" si="8"/>
        <v>#REF!</v>
      </c>
      <c r="AF30" s="85">
        <f>(([4]Data!L32)*(11.5*10^-6)*1)</f>
        <v>0</v>
      </c>
      <c r="AG30" s="77">
        <f t="shared" si="9"/>
        <v>0</v>
      </c>
      <c r="AH30" s="77" t="e">
        <f t="shared" si="10"/>
        <v>#REF!</v>
      </c>
      <c r="AI30" s="86">
        <f t="shared" si="11"/>
        <v>0</v>
      </c>
      <c r="AJ30" s="71" t="e">
        <f t="shared" si="12"/>
        <v>#REF!</v>
      </c>
      <c r="AK30" s="74" t="e">
        <f t="shared" si="13"/>
        <v>#REF!</v>
      </c>
      <c r="AL30" s="87" t="e">
        <f t="shared" si="14"/>
        <v>#REF!</v>
      </c>
      <c r="AV30" s="51"/>
      <c r="AW30" s="51"/>
      <c r="AX30" s="51"/>
    </row>
    <row r="31" spans="1:50" s="66" customFormat="1" ht="18" hidden="1" customHeight="1">
      <c r="A31" s="51"/>
      <c r="B31" s="75">
        <v>150</v>
      </c>
      <c r="C31" s="76">
        <v>0</v>
      </c>
      <c r="D31" s="77">
        <f t="shared" si="0"/>
        <v>0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>
        <f t="shared" ref="P31:P35" si="19">P30</f>
        <v>2.8</v>
      </c>
      <c r="Q31" s="79">
        <f t="shared" si="1"/>
        <v>1.4</v>
      </c>
      <c r="R31" s="78">
        <f>'[4]Cert of STD'!D22</f>
        <v>0</v>
      </c>
      <c r="S31" s="79">
        <f t="shared" si="2"/>
        <v>0</v>
      </c>
      <c r="T31" s="80" t="e">
        <f>#REF!*2</f>
        <v>#REF!</v>
      </c>
      <c r="U31" s="81" t="e">
        <f t="shared" si="4"/>
        <v>#REF!</v>
      </c>
      <c r="V31" s="82">
        <f>(1/16)*[4]Data!E35</f>
        <v>0</v>
      </c>
      <c r="W31" s="81">
        <f t="shared" si="5"/>
        <v>0</v>
      </c>
      <c r="X31" s="76" t="e">
        <f t="shared" ref="X31:X35" si="20">X30</f>
        <v>#REF!</v>
      </c>
      <c r="Y31" s="81" t="e">
        <f t="shared" si="5"/>
        <v>#REF!</v>
      </c>
      <c r="Z31" s="81">
        <v>1</v>
      </c>
      <c r="AA31" s="83">
        <f t="shared" si="6"/>
        <v>0.57735026918962584</v>
      </c>
      <c r="AB31" s="77" t="e">
        <f t="shared" ref="AB31:AB35" si="21">AB30</f>
        <v>#REF!</v>
      </c>
      <c r="AC31" s="84" t="e">
        <f t="shared" si="7"/>
        <v>#REF!</v>
      </c>
      <c r="AD31" s="83" t="e">
        <f t="shared" ref="AD31:AD35" si="22">AD30</f>
        <v>#REF!</v>
      </c>
      <c r="AE31" s="83" t="e">
        <f t="shared" si="8"/>
        <v>#REF!</v>
      </c>
      <c r="AF31" s="85">
        <f>(([4]Data!L33)*(11.5*10^-6)*1)</f>
        <v>2.8750000000000001E-5</v>
      </c>
      <c r="AG31" s="77">
        <f t="shared" si="9"/>
        <v>1.6598820239201741E-5</v>
      </c>
      <c r="AH31" s="77" t="e">
        <f t="shared" si="10"/>
        <v>#REF!</v>
      </c>
      <c r="AI31" s="86">
        <f t="shared" si="11"/>
        <v>0</v>
      </c>
      <c r="AJ31" s="71" t="e">
        <f t="shared" si="12"/>
        <v>#REF!</v>
      </c>
      <c r="AK31" s="74" t="e">
        <f t="shared" si="13"/>
        <v>#REF!</v>
      </c>
      <c r="AL31" s="87" t="e">
        <f t="shared" si="14"/>
        <v>#REF!</v>
      </c>
      <c r="AM31" s="88"/>
      <c r="AN31" s="89"/>
      <c r="AV31" s="51"/>
      <c r="AW31" s="51"/>
      <c r="AX31" s="51"/>
    </row>
    <row r="32" spans="1:50" s="66" customFormat="1" ht="18" hidden="1" customHeight="1">
      <c r="A32" s="51"/>
      <c r="B32" s="75">
        <v>150</v>
      </c>
      <c r="C32" s="76">
        <v>0</v>
      </c>
      <c r="D32" s="77">
        <f t="shared" si="0"/>
        <v>0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8">
        <f t="shared" si="19"/>
        <v>2.8</v>
      </c>
      <c r="Q32" s="79">
        <f t="shared" si="1"/>
        <v>1.4</v>
      </c>
      <c r="R32" s="78">
        <f>'[4]Cert of STD'!D23</f>
        <v>0</v>
      </c>
      <c r="S32" s="79">
        <f t="shared" si="2"/>
        <v>0</v>
      </c>
      <c r="T32" s="80" t="e">
        <f>#REF!*2</f>
        <v>#REF!</v>
      </c>
      <c r="U32" s="81" t="e">
        <f t="shared" si="4"/>
        <v>#REF!</v>
      </c>
      <c r="V32" s="82">
        <f>(1/16)*[4]Data!E36</f>
        <v>0</v>
      </c>
      <c r="W32" s="81">
        <f t="shared" si="5"/>
        <v>0</v>
      </c>
      <c r="X32" s="76" t="e">
        <f t="shared" si="20"/>
        <v>#REF!</v>
      </c>
      <c r="Y32" s="81" t="e">
        <f t="shared" si="5"/>
        <v>#REF!</v>
      </c>
      <c r="Z32" s="81">
        <v>1</v>
      </c>
      <c r="AA32" s="83">
        <f t="shared" si="6"/>
        <v>0.57735026918962584</v>
      </c>
      <c r="AB32" s="77" t="e">
        <f t="shared" si="21"/>
        <v>#REF!</v>
      </c>
      <c r="AC32" s="84" t="e">
        <f t="shared" si="7"/>
        <v>#REF!</v>
      </c>
      <c r="AD32" s="83" t="e">
        <f t="shared" si="22"/>
        <v>#REF!</v>
      </c>
      <c r="AE32" s="83" t="e">
        <f t="shared" si="8"/>
        <v>#REF!</v>
      </c>
      <c r="AF32" s="85">
        <f>(([4]Data!L34)*(11.5*10^-6)*1)</f>
        <v>0</v>
      </c>
      <c r="AG32" s="77">
        <f t="shared" si="9"/>
        <v>0</v>
      </c>
      <c r="AH32" s="77" t="e">
        <f t="shared" si="10"/>
        <v>#REF!</v>
      </c>
      <c r="AI32" s="86">
        <f t="shared" si="11"/>
        <v>0</v>
      </c>
      <c r="AJ32" s="71" t="e">
        <f t="shared" si="12"/>
        <v>#REF!</v>
      </c>
      <c r="AK32" s="74" t="e">
        <f t="shared" si="13"/>
        <v>#REF!</v>
      </c>
      <c r="AL32" s="87" t="e">
        <f t="shared" si="14"/>
        <v>#REF!</v>
      </c>
      <c r="AM32" s="7"/>
      <c r="AN32" s="7"/>
      <c r="AV32" s="51"/>
      <c r="AW32" s="51"/>
      <c r="AX32" s="51"/>
    </row>
    <row r="33" spans="2:40" s="13" customFormat="1" ht="18" hidden="1" customHeight="1">
      <c r="B33" s="75">
        <v>150</v>
      </c>
      <c r="C33" s="76">
        <v>0</v>
      </c>
      <c r="D33" s="77">
        <f t="shared" si="0"/>
        <v>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8">
        <f t="shared" si="19"/>
        <v>2.8</v>
      </c>
      <c r="Q33" s="79">
        <f t="shared" si="1"/>
        <v>1.4</v>
      </c>
      <c r="R33" s="78">
        <f>'[4]Cert of STD'!D24</f>
        <v>0</v>
      </c>
      <c r="S33" s="79">
        <f t="shared" si="2"/>
        <v>0</v>
      </c>
      <c r="T33" s="80" t="e">
        <f>#REF!*2</f>
        <v>#REF!</v>
      </c>
      <c r="U33" s="81" t="e">
        <f t="shared" si="4"/>
        <v>#REF!</v>
      </c>
      <c r="V33" s="82">
        <f>(1/16)*[4]Data!E37</f>
        <v>0</v>
      </c>
      <c r="W33" s="81">
        <f t="shared" si="5"/>
        <v>0</v>
      </c>
      <c r="X33" s="76" t="e">
        <f t="shared" si="20"/>
        <v>#REF!</v>
      </c>
      <c r="Y33" s="81" t="e">
        <f t="shared" si="5"/>
        <v>#REF!</v>
      </c>
      <c r="Z33" s="81">
        <v>1</v>
      </c>
      <c r="AA33" s="83">
        <f t="shared" si="6"/>
        <v>0.57735026918962584</v>
      </c>
      <c r="AB33" s="77" t="e">
        <f t="shared" si="21"/>
        <v>#REF!</v>
      </c>
      <c r="AC33" s="84" t="e">
        <f t="shared" si="7"/>
        <v>#REF!</v>
      </c>
      <c r="AD33" s="83" t="e">
        <f t="shared" si="22"/>
        <v>#REF!</v>
      </c>
      <c r="AE33" s="83" t="e">
        <f t="shared" si="8"/>
        <v>#REF!</v>
      </c>
      <c r="AF33" s="85">
        <f>(([4]Data!L35)*(11.5*10^-6)*1)</f>
        <v>0</v>
      </c>
      <c r="AG33" s="77">
        <f t="shared" si="9"/>
        <v>0</v>
      </c>
      <c r="AH33" s="77" t="e">
        <f t="shared" si="10"/>
        <v>#REF!</v>
      </c>
      <c r="AI33" s="86">
        <f t="shared" si="11"/>
        <v>0</v>
      </c>
      <c r="AJ33" s="71" t="e">
        <f t="shared" si="12"/>
        <v>#REF!</v>
      </c>
      <c r="AK33" s="74" t="e">
        <f t="shared" si="13"/>
        <v>#REF!</v>
      </c>
      <c r="AL33" s="87" t="e">
        <f t="shared" si="14"/>
        <v>#REF!</v>
      </c>
      <c r="AM33" s="7"/>
      <c r="AN33" s="7"/>
    </row>
    <row r="34" spans="2:40" s="13" customFormat="1" ht="18" hidden="1" customHeight="1">
      <c r="B34" s="75">
        <v>150</v>
      </c>
      <c r="C34" s="76">
        <v>0</v>
      </c>
      <c r="D34" s="77">
        <f t="shared" si="0"/>
        <v>0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8">
        <f t="shared" si="19"/>
        <v>2.8</v>
      </c>
      <c r="Q34" s="79">
        <f t="shared" si="1"/>
        <v>1.4</v>
      </c>
      <c r="R34" s="78">
        <f>'[4]Cert of STD'!D25</f>
        <v>0</v>
      </c>
      <c r="S34" s="79">
        <f t="shared" si="2"/>
        <v>0</v>
      </c>
      <c r="T34" s="80" t="e">
        <f>#REF!*2</f>
        <v>#REF!</v>
      </c>
      <c r="U34" s="81" t="e">
        <f t="shared" si="4"/>
        <v>#REF!</v>
      </c>
      <c r="V34" s="82">
        <f>(1/16)*[4]Data!E38</f>
        <v>0</v>
      </c>
      <c r="W34" s="81">
        <f t="shared" si="5"/>
        <v>0</v>
      </c>
      <c r="X34" s="76" t="e">
        <f t="shared" si="20"/>
        <v>#REF!</v>
      </c>
      <c r="Y34" s="81" t="e">
        <f t="shared" si="5"/>
        <v>#REF!</v>
      </c>
      <c r="Z34" s="81">
        <v>1</v>
      </c>
      <c r="AA34" s="83">
        <f t="shared" si="6"/>
        <v>0.57735026918962584</v>
      </c>
      <c r="AB34" s="77" t="e">
        <f t="shared" si="21"/>
        <v>#REF!</v>
      </c>
      <c r="AC34" s="84" t="e">
        <f t="shared" si="7"/>
        <v>#REF!</v>
      </c>
      <c r="AD34" s="83" t="e">
        <f t="shared" si="22"/>
        <v>#REF!</v>
      </c>
      <c r="AE34" s="83" t="e">
        <f t="shared" si="8"/>
        <v>#REF!</v>
      </c>
      <c r="AF34" s="85">
        <f>(([4]Data!L36)*(11.5*10^-6)*1)</f>
        <v>0</v>
      </c>
      <c r="AG34" s="77">
        <f t="shared" si="9"/>
        <v>0</v>
      </c>
      <c r="AH34" s="77" t="e">
        <f t="shared" si="10"/>
        <v>#REF!</v>
      </c>
      <c r="AI34" s="86">
        <f t="shared" si="11"/>
        <v>0</v>
      </c>
      <c r="AJ34" s="71" t="e">
        <f t="shared" si="12"/>
        <v>#REF!</v>
      </c>
      <c r="AK34" s="74" t="e">
        <f t="shared" si="13"/>
        <v>#REF!</v>
      </c>
      <c r="AL34" s="87" t="e">
        <f t="shared" si="14"/>
        <v>#REF!</v>
      </c>
      <c r="AM34" s="7"/>
      <c r="AN34" s="7"/>
    </row>
    <row r="35" spans="2:40" s="13" customFormat="1" ht="18" hidden="1" customHeight="1">
      <c r="B35" s="75">
        <v>150</v>
      </c>
      <c r="C35" s="76">
        <v>0</v>
      </c>
      <c r="D35" s="77">
        <f t="shared" si="0"/>
        <v>0</v>
      </c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8">
        <f t="shared" si="19"/>
        <v>2.8</v>
      </c>
      <c r="Q35" s="79">
        <f t="shared" si="1"/>
        <v>1.4</v>
      </c>
      <c r="R35" s="78">
        <f>'[4]Cert of STD'!D26</f>
        <v>0</v>
      </c>
      <c r="S35" s="79">
        <f t="shared" si="2"/>
        <v>0</v>
      </c>
      <c r="T35" s="80" t="e">
        <f>#REF!*2</f>
        <v>#REF!</v>
      </c>
      <c r="U35" s="81" t="e">
        <f t="shared" si="4"/>
        <v>#REF!</v>
      </c>
      <c r="V35" s="82">
        <f>(1/16)*[4]Data!E39</f>
        <v>0</v>
      </c>
      <c r="W35" s="81">
        <f t="shared" si="5"/>
        <v>0</v>
      </c>
      <c r="X35" s="76" t="e">
        <f t="shared" si="20"/>
        <v>#REF!</v>
      </c>
      <c r="Y35" s="81" t="e">
        <f t="shared" si="5"/>
        <v>#REF!</v>
      </c>
      <c r="Z35" s="81">
        <v>1</v>
      </c>
      <c r="AA35" s="83">
        <f t="shared" si="6"/>
        <v>0.57735026918962584</v>
      </c>
      <c r="AB35" s="77" t="e">
        <f t="shared" si="21"/>
        <v>#REF!</v>
      </c>
      <c r="AC35" s="84" t="e">
        <f t="shared" si="7"/>
        <v>#REF!</v>
      </c>
      <c r="AD35" s="83" t="e">
        <f t="shared" si="22"/>
        <v>#REF!</v>
      </c>
      <c r="AE35" s="83" t="e">
        <f t="shared" si="8"/>
        <v>#REF!</v>
      </c>
      <c r="AF35" s="85">
        <f>(([4]Data!L37)*(11.5*10^-6)*1)</f>
        <v>0</v>
      </c>
      <c r="AG35" s="77">
        <f t="shared" si="9"/>
        <v>0</v>
      </c>
      <c r="AH35" s="77" t="e">
        <f t="shared" si="10"/>
        <v>#REF!</v>
      </c>
      <c r="AI35" s="86">
        <f t="shared" si="11"/>
        <v>0</v>
      </c>
      <c r="AJ35" s="71" t="e">
        <f t="shared" si="12"/>
        <v>#REF!</v>
      </c>
      <c r="AK35" s="74" t="e">
        <f t="shared" si="13"/>
        <v>#REF!</v>
      </c>
      <c r="AL35" s="87" t="e">
        <f t="shared" si="14"/>
        <v>#REF!</v>
      </c>
      <c r="AM35" s="7"/>
      <c r="AN35" s="7"/>
    </row>
    <row r="36" spans="2:40" s="13" customFormat="1" ht="18" hidden="1" customHeight="1">
      <c r="B36" s="75">
        <v>150</v>
      </c>
      <c r="C36" s="76">
        <v>0</v>
      </c>
      <c r="D36" s="77">
        <f t="shared" si="0"/>
        <v>0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8">
        <f>P35</f>
        <v>2.8</v>
      </c>
      <c r="Q36" s="79">
        <f t="shared" si="1"/>
        <v>1.4</v>
      </c>
      <c r="R36" s="78">
        <f>'[4]Cert of STD'!D27</f>
        <v>0</v>
      </c>
      <c r="S36" s="79">
        <f t="shared" si="2"/>
        <v>0</v>
      </c>
      <c r="T36" s="80" t="e">
        <f>#REF!*2</f>
        <v>#REF!</v>
      </c>
      <c r="U36" s="81" t="e">
        <f t="shared" si="4"/>
        <v>#REF!</v>
      </c>
      <c r="V36" s="82">
        <f>(1/16)*[4]Data!E40</f>
        <v>0</v>
      </c>
      <c r="W36" s="81">
        <f t="shared" si="5"/>
        <v>0</v>
      </c>
      <c r="X36" s="76" t="e">
        <f>X35</f>
        <v>#REF!</v>
      </c>
      <c r="Y36" s="81" t="e">
        <f t="shared" si="5"/>
        <v>#REF!</v>
      </c>
      <c r="Z36" s="81">
        <v>1</v>
      </c>
      <c r="AA36" s="83">
        <f t="shared" si="6"/>
        <v>0.57735026918962584</v>
      </c>
      <c r="AB36" s="77" t="e">
        <f>AB35</f>
        <v>#REF!</v>
      </c>
      <c r="AC36" s="84" t="e">
        <f t="shared" si="7"/>
        <v>#REF!</v>
      </c>
      <c r="AD36" s="83" t="e">
        <f>AD35</f>
        <v>#REF!</v>
      </c>
      <c r="AE36" s="83" t="e">
        <f t="shared" si="8"/>
        <v>#REF!</v>
      </c>
      <c r="AF36" s="85">
        <f>(([4]Data!L38)*(11.5*10^-6)*1)</f>
        <v>0</v>
      </c>
      <c r="AG36" s="77">
        <f t="shared" si="9"/>
        <v>0</v>
      </c>
      <c r="AH36" s="77" t="e">
        <f t="shared" si="10"/>
        <v>#REF!</v>
      </c>
      <c r="AI36" s="86">
        <f t="shared" si="11"/>
        <v>0</v>
      </c>
      <c r="AJ36" s="71" t="e">
        <f t="shared" si="12"/>
        <v>#REF!</v>
      </c>
      <c r="AK36" s="74" t="e">
        <f t="shared" si="13"/>
        <v>#REF!</v>
      </c>
      <c r="AL36" s="87" t="e">
        <f t="shared" si="14"/>
        <v>#REF!</v>
      </c>
      <c r="AM36" s="7"/>
      <c r="AN36" s="7"/>
    </row>
    <row r="37" spans="2:40" s="13" customFormat="1" ht="18" hidden="1" customHeight="1">
      <c r="B37" s="75">
        <v>150</v>
      </c>
      <c r="C37" s="76">
        <v>0</v>
      </c>
      <c r="D37" s="77">
        <f t="shared" si="0"/>
        <v>0</v>
      </c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8">
        <f t="shared" ref="P37" si="23">P36</f>
        <v>2.8</v>
      </c>
      <c r="Q37" s="79">
        <f t="shared" si="1"/>
        <v>1.4</v>
      </c>
      <c r="R37" s="78">
        <f>'[4]Cert of STD'!D28</f>
        <v>0</v>
      </c>
      <c r="S37" s="79">
        <f t="shared" si="2"/>
        <v>0</v>
      </c>
      <c r="T37" s="80" t="e">
        <f>#REF!*2</f>
        <v>#REF!</v>
      </c>
      <c r="U37" s="81" t="e">
        <f t="shared" si="4"/>
        <v>#REF!</v>
      </c>
      <c r="V37" s="82">
        <f>(1/16)*[4]Data!E41</f>
        <v>0</v>
      </c>
      <c r="W37" s="81">
        <f t="shared" si="5"/>
        <v>0</v>
      </c>
      <c r="X37" s="76" t="e">
        <f t="shared" ref="X37" si="24">X36</f>
        <v>#REF!</v>
      </c>
      <c r="Y37" s="81" t="e">
        <f t="shared" si="5"/>
        <v>#REF!</v>
      </c>
      <c r="Z37" s="81">
        <v>1</v>
      </c>
      <c r="AA37" s="83">
        <f t="shared" si="6"/>
        <v>0.57735026918962584</v>
      </c>
      <c r="AB37" s="77" t="e">
        <f t="shared" ref="AB37" si="25">AB36</f>
        <v>#REF!</v>
      </c>
      <c r="AC37" s="84" t="e">
        <f t="shared" si="7"/>
        <v>#REF!</v>
      </c>
      <c r="AD37" s="83" t="e">
        <f t="shared" ref="AD37" si="26">AD36</f>
        <v>#REF!</v>
      </c>
      <c r="AE37" s="83" t="e">
        <f t="shared" si="8"/>
        <v>#REF!</v>
      </c>
      <c r="AF37" s="85">
        <f>(([4]Data!L39)*(11.5*10^-6)*1)</f>
        <v>2.3E-5</v>
      </c>
      <c r="AG37" s="77">
        <f t="shared" si="9"/>
        <v>1.3279056191361393E-5</v>
      </c>
      <c r="AH37" s="77" t="e">
        <f t="shared" si="10"/>
        <v>#REF!</v>
      </c>
      <c r="AI37" s="86">
        <f t="shared" si="11"/>
        <v>0</v>
      </c>
      <c r="AJ37" s="71" t="e">
        <f t="shared" si="12"/>
        <v>#REF!</v>
      </c>
      <c r="AK37" s="74" t="e">
        <f t="shared" si="13"/>
        <v>#REF!</v>
      </c>
      <c r="AL37" s="87" t="e">
        <f t="shared" si="14"/>
        <v>#REF!</v>
      </c>
      <c r="AM37" s="7"/>
      <c r="AN37" s="7"/>
    </row>
    <row r="38" spans="2:40" s="13" customFormat="1" ht="18" hidden="1" customHeight="1">
      <c r="B38" s="75">
        <v>150</v>
      </c>
      <c r="C38" s="76">
        <v>0</v>
      </c>
      <c r="D38" s="77">
        <f t="shared" si="0"/>
        <v>0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8">
        <f>P37</f>
        <v>2.8</v>
      </c>
      <c r="Q38" s="79">
        <f t="shared" si="1"/>
        <v>1.4</v>
      </c>
      <c r="R38" s="78">
        <f>'[4]Cert of STD'!D29</f>
        <v>0</v>
      </c>
      <c r="S38" s="79">
        <f t="shared" si="2"/>
        <v>0</v>
      </c>
      <c r="T38" s="80" t="e">
        <f>#REF!*2</f>
        <v>#REF!</v>
      </c>
      <c r="U38" s="81" t="e">
        <f t="shared" si="4"/>
        <v>#REF!</v>
      </c>
      <c r="V38" s="82">
        <f>(1/16)*[4]Data!E42</f>
        <v>0</v>
      </c>
      <c r="W38" s="81">
        <f t="shared" si="5"/>
        <v>0</v>
      </c>
      <c r="X38" s="76" t="e">
        <f>X37</f>
        <v>#REF!</v>
      </c>
      <c r="Y38" s="81" t="e">
        <f t="shared" si="5"/>
        <v>#REF!</v>
      </c>
      <c r="Z38" s="81">
        <v>1</v>
      </c>
      <c r="AA38" s="83">
        <f t="shared" si="6"/>
        <v>0.57735026918962584</v>
      </c>
      <c r="AB38" s="77" t="e">
        <f>AB37</f>
        <v>#REF!</v>
      </c>
      <c r="AC38" s="84" t="e">
        <f t="shared" si="7"/>
        <v>#REF!</v>
      </c>
      <c r="AD38" s="83" t="e">
        <f>AD37</f>
        <v>#REF!</v>
      </c>
      <c r="AE38" s="83" t="e">
        <f t="shared" si="8"/>
        <v>#REF!</v>
      </c>
      <c r="AF38" s="85">
        <f>(([4]Data!L40)*(11.5*10^-6)*1)</f>
        <v>1.15011845E-4</v>
      </c>
      <c r="AG38" s="77">
        <f t="shared" si="9"/>
        <v>6.6402119670745514E-5</v>
      </c>
      <c r="AH38" s="77" t="e">
        <f t="shared" si="10"/>
        <v>#REF!</v>
      </c>
      <c r="AI38" s="86">
        <f t="shared" si="11"/>
        <v>0</v>
      </c>
      <c r="AJ38" s="71" t="e">
        <f t="shared" si="12"/>
        <v>#REF!</v>
      </c>
      <c r="AK38" s="74" t="e">
        <f t="shared" si="13"/>
        <v>#REF!</v>
      </c>
      <c r="AL38" s="87" t="e">
        <f t="shared" si="14"/>
        <v>#REF!</v>
      </c>
      <c r="AM38" s="7"/>
      <c r="AN38" s="7"/>
    </row>
    <row r="39" spans="2:40" s="13" customFormat="1" ht="18" hidden="1" customHeight="1">
      <c r="B39" s="75">
        <v>150</v>
      </c>
      <c r="C39" s="76">
        <v>0</v>
      </c>
      <c r="D39" s="77">
        <f t="shared" si="0"/>
        <v>0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8">
        <f t="shared" ref="P39" si="27">P38</f>
        <v>2.8</v>
      </c>
      <c r="Q39" s="79">
        <f t="shared" si="1"/>
        <v>1.4</v>
      </c>
      <c r="R39" s="78">
        <f>'[4]Cert of STD'!D30</f>
        <v>0</v>
      </c>
      <c r="S39" s="79">
        <f t="shared" si="2"/>
        <v>0</v>
      </c>
      <c r="T39" s="80" t="e">
        <f>#REF!*2</f>
        <v>#REF!</v>
      </c>
      <c r="U39" s="81" t="e">
        <f t="shared" si="4"/>
        <v>#REF!</v>
      </c>
      <c r="V39" s="82">
        <f>(1/16)*[4]Data!E43</f>
        <v>0</v>
      </c>
      <c r="W39" s="81">
        <f t="shared" si="5"/>
        <v>0</v>
      </c>
      <c r="X39" s="76" t="e">
        <f t="shared" ref="X39" si="28">X38</f>
        <v>#REF!</v>
      </c>
      <c r="Y39" s="81" t="e">
        <f t="shared" si="5"/>
        <v>#REF!</v>
      </c>
      <c r="Z39" s="81">
        <v>1</v>
      </c>
      <c r="AA39" s="83">
        <f t="shared" si="6"/>
        <v>0.57735026918962584</v>
      </c>
      <c r="AB39" s="77" t="e">
        <f t="shared" ref="AB39" si="29">AB38</f>
        <v>#REF!</v>
      </c>
      <c r="AC39" s="84" t="e">
        <f t="shared" si="7"/>
        <v>#REF!</v>
      </c>
      <c r="AD39" s="83" t="e">
        <f t="shared" ref="AD39" si="30">AD38</f>
        <v>#REF!</v>
      </c>
      <c r="AE39" s="83" t="e">
        <f t="shared" si="8"/>
        <v>#REF!</v>
      </c>
      <c r="AF39" s="85">
        <f>(([4]Data!L41)*(11.5*10^-6)*1)</f>
        <v>1.15011845E-4</v>
      </c>
      <c r="AG39" s="77">
        <f t="shared" si="9"/>
        <v>6.6402119670745514E-5</v>
      </c>
      <c r="AH39" s="77" t="e">
        <f t="shared" si="10"/>
        <v>#REF!</v>
      </c>
      <c r="AI39" s="86">
        <f t="shared" si="11"/>
        <v>0</v>
      </c>
      <c r="AJ39" s="71" t="e">
        <f t="shared" si="12"/>
        <v>#REF!</v>
      </c>
      <c r="AK39" s="74" t="e">
        <f t="shared" si="13"/>
        <v>#REF!</v>
      </c>
      <c r="AL39" s="87" t="e">
        <f t="shared" si="14"/>
        <v>#REF!</v>
      </c>
      <c r="AM39" s="7"/>
      <c r="AN39" s="7"/>
    </row>
    <row r="40" spans="2:40" s="13" customFormat="1" ht="18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2:40" s="13" customFormat="1" ht="18" customHeight="1">
      <c r="B41" s="7"/>
      <c r="C41" s="7"/>
      <c r="D41" s="7"/>
      <c r="E41" s="7"/>
      <c r="F41" s="7"/>
      <c r="G41" s="7"/>
      <c r="H41" s="7"/>
      <c r="AC41" s="7"/>
    </row>
    <row r="42" spans="2:40" s="13" customFormat="1" ht="18" customHeight="1">
      <c r="B42" s="7"/>
      <c r="C42" s="7"/>
      <c r="D42" s="7"/>
      <c r="E42" s="7"/>
      <c r="F42" s="7"/>
      <c r="G42" s="7"/>
      <c r="H42" s="7"/>
      <c r="AC42" s="7"/>
    </row>
    <row r="43" spans="2:40" s="13" customFormat="1" ht="18" customHeight="1">
      <c r="B43" s="7"/>
      <c r="C43" s="7"/>
      <c r="D43" s="7"/>
      <c r="E43" s="7"/>
      <c r="F43" s="7"/>
      <c r="G43" s="7"/>
      <c r="H43" s="7"/>
      <c r="AC43" s="7"/>
    </row>
    <row r="44" spans="2:40" s="13" customFormat="1" ht="18" customHeight="1">
      <c r="B44" s="7"/>
      <c r="C44" s="7"/>
      <c r="D44" s="7"/>
      <c r="E44" s="7"/>
      <c r="F44" s="7"/>
      <c r="G44" s="7"/>
      <c r="H44" s="7"/>
      <c r="AC44" s="7"/>
    </row>
    <row r="45" spans="2:40" s="13" customFormat="1" ht="18" customHeight="1">
      <c r="B45" s="7"/>
      <c r="C45" s="7"/>
      <c r="D45" s="7"/>
      <c r="E45" s="7"/>
      <c r="F45" s="7"/>
      <c r="G45" s="7"/>
      <c r="H45" s="7"/>
      <c r="AC45" s="7"/>
    </row>
    <row r="46" spans="2:40" s="13" customFormat="1" ht="18" customHeight="1">
      <c r="B46" s="7"/>
      <c r="C46" s="7"/>
      <c r="D46" s="7"/>
      <c r="E46" s="7"/>
      <c r="F46" s="7"/>
      <c r="G46" s="7"/>
      <c r="H46" s="7"/>
      <c r="AC46" s="7"/>
    </row>
    <row r="47" spans="2:40" s="13" customFormat="1" ht="18" customHeight="1">
      <c r="B47" s="7"/>
      <c r="C47" s="7"/>
      <c r="D47" s="7"/>
      <c r="E47" s="7"/>
      <c r="F47" s="7"/>
      <c r="G47" s="7"/>
      <c r="H47" s="7"/>
      <c r="AC47" s="7"/>
    </row>
    <row r="48" spans="2:40" s="13" customFormat="1" ht="18" customHeight="1">
      <c r="B48" s="7"/>
      <c r="C48" s="7"/>
      <c r="D48" s="7"/>
      <c r="E48" s="7"/>
      <c r="F48" s="7"/>
      <c r="G48" s="7"/>
      <c r="H48" s="7"/>
      <c r="AC48" s="7"/>
    </row>
    <row r="49" spans="2:40" s="13" customFormat="1" ht="18" customHeight="1">
      <c r="B49" s="7"/>
      <c r="C49" s="7"/>
      <c r="D49" s="7"/>
      <c r="E49" s="7"/>
      <c r="F49" s="7"/>
      <c r="G49" s="7"/>
      <c r="H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2:40" s="13" customFormat="1" ht="18" customHeight="1">
      <c r="B50" s="7"/>
      <c r="C50" s="7"/>
      <c r="D50" s="7"/>
      <c r="E50" s="7"/>
      <c r="F50" s="7"/>
      <c r="G50" s="7"/>
      <c r="H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40" s="13" customFormat="1" ht="18" customHeight="1">
      <c r="B51" s="7"/>
      <c r="C51" s="7"/>
      <c r="D51" s="7"/>
      <c r="E51" s="7"/>
      <c r="F51" s="7"/>
      <c r="G51" s="7"/>
      <c r="H51" s="7"/>
      <c r="R51" s="90"/>
      <c r="S51" s="7"/>
      <c r="U51" s="7"/>
      <c r="W51" s="7"/>
      <c r="X51" s="7"/>
      <c r="Y51" s="7"/>
      <c r="Z51" s="7"/>
      <c r="AA51" s="7"/>
      <c r="AB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2:40" s="13" customFormat="1" ht="18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V52" s="91"/>
      <c r="W52" s="91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2:40" s="13" customFormat="1" ht="1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2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4"/>
      <c r="AI53" s="93"/>
      <c r="AJ53" s="93"/>
      <c r="AK53" s="93"/>
      <c r="AL53" s="95"/>
      <c r="AM53" s="96"/>
      <c r="AN53" s="93"/>
    </row>
    <row r="54" spans="2:40" s="13" customFormat="1" ht="1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2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4"/>
      <c r="AI54" s="93"/>
      <c r="AJ54" s="93"/>
      <c r="AK54" s="93"/>
      <c r="AL54" s="95"/>
      <c r="AM54" s="96"/>
      <c r="AN54" s="93"/>
    </row>
    <row r="55" spans="2:40" s="13" customFormat="1" ht="1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2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4"/>
      <c r="AI55" s="93"/>
      <c r="AJ55" s="93"/>
      <c r="AK55" s="93"/>
      <c r="AL55" s="95"/>
      <c r="AM55" s="96"/>
      <c r="AN55" s="93"/>
    </row>
    <row r="56" spans="2:40">
      <c r="V56" s="93"/>
    </row>
  </sheetData>
  <mergeCells count="75">
    <mergeCell ref="C22:E22"/>
    <mergeCell ref="F22:G22"/>
    <mergeCell ref="H22:I22"/>
    <mergeCell ref="J22:K22"/>
    <mergeCell ref="M22:N22"/>
    <mergeCell ref="C23:E23"/>
    <mergeCell ref="F23:G23"/>
    <mergeCell ref="H23:I23"/>
    <mergeCell ref="J23:K23"/>
    <mergeCell ref="M23:N23"/>
    <mergeCell ref="C20:E20"/>
    <mergeCell ref="F20:G20"/>
    <mergeCell ref="H20:I20"/>
    <mergeCell ref="J20:K20"/>
    <mergeCell ref="M20:N20"/>
    <mergeCell ref="C21:E21"/>
    <mergeCell ref="F21:G21"/>
    <mergeCell ref="H21:I21"/>
    <mergeCell ref="J21:K21"/>
    <mergeCell ref="M21:N21"/>
    <mergeCell ref="H17:I17"/>
    <mergeCell ref="J17:K17"/>
    <mergeCell ref="M17:N17"/>
    <mergeCell ref="C19:E19"/>
    <mergeCell ref="F19:G19"/>
    <mergeCell ref="H19:I19"/>
    <mergeCell ref="J19:K19"/>
    <mergeCell ref="M19:N19"/>
    <mergeCell ref="C18:E18"/>
    <mergeCell ref="F18:G18"/>
    <mergeCell ref="H18:I18"/>
    <mergeCell ref="J18:K18"/>
    <mergeCell ref="M18:N18"/>
    <mergeCell ref="T17:V17"/>
    <mergeCell ref="R15:R16"/>
    <mergeCell ref="S15:S16"/>
    <mergeCell ref="T15:T16"/>
    <mergeCell ref="C16:E16"/>
    <mergeCell ref="F16:G16"/>
    <mergeCell ref="H16:I16"/>
    <mergeCell ref="J16:K16"/>
    <mergeCell ref="M16:N16"/>
    <mergeCell ref="C15:E15"/>
    <mergeCell ref="F15:G15"/>
    <mergeCell ref="H15:I15"/>
    <mergeCell ref="J15:K15"/>
    <mergeCell ref="M15:N15"/>
    <mergeCell ref="C17:E17"/>
    <mergeCell ref="F17:G17"/>
    <mergeCell ref="C14:E14"/>
    <mergeCell ref="F14:G14"/>
    <mergeCell ref="H14:I14"/>
    <mergeCell ref="J14:K14"/>
    <mergeCell ref="M14:N14"/>
    <mergeCell ref="J12:K13"/>
    <mergeCell ref="L12:L13"/>
    <mergeCell ref="M12:N12"/>
    <mergeCell ref="O12:O13"/>
    <mergeCell ref="F13:G13"/>
    <mergeCell ref="H13:I13"/>
    <mergeCell ref="M13:N13"/>
    <mergeCell ref="D6:E6"/>
    <mergeCell ref="D7:E7"/>
    <mergeCell ref="G8:H8"/>
    <mergeCell ref="G9:H9"/>
    <mergeCell ref="B12:B13"/>
    <mergeCell ref="C12:E13"/>
    <mergeCell ref="F12:G12"/>
    <mergeCell ref="H12:I12"/>
    <mergeCell ref="Q5:R5"/>
    <mergeCell ref="B2:O2"/>
    <mergeCell ref="B5:C5"/>
    <mergeCell ref="E5:F5"/>
    <mergeCell ref="I5:J5"/>
    <mergeCell ref="K5:L5"/>
  </mergeCells>
  <pageMargins left="0.11811023622047245" right="0.11811023622047245" top="0.35433070866141736" bottom="0.15748031496062992" header="0.31496062992125984" footer="0.31496062992125984"/>
  <pageSetup paperSize="9" orientation="landscape" r:id="rId1"/>
  <colBreaks count="2" manualBreakCount="2">
    <brk id="15" max="45" man="1"/>
    <brk id="38" max="1048575" man="1"/>
  </colBreaks>
  <drawing r:id="rId2"/>
  <legacyDrawing r:id="rId3"/>
  <oleObjects>
    <mc:AlternateContent xmlns:mc="http://schemas.openxmlformats.org/markup-compatibility/2006">
      <mc:Choice Requires="x14">
        <oleObject progId="Equation.3" shapeId="15361" r:id="rId4">
          <objectPr defaultSize="0" autoPict="0" r:id="rId5">
            <anchor moveWithCells="1">
              <from>
                <xdr:col>14</xdr:col>
                <xdr:colOff>171450</xdr:colOff>
                <xdr:row>14</xdr:row>
                <xdr:rowOff>28575</xdr:rowOff>
              </from>
              <to>
                <xdr:col>14</xdr:col>
                <xdr:colOff>428625</xdr:colOff>
                <xdr:row>14</xdr:row>
                <xdr:rowOff>200025</xdr:rowOff>
              </to>
            </anchor>
          </objectPr>
        </oleObject>
      </mc:Choice>
      <mc:Fallback>
        <oleObject progId="Equation.3" shapeId="15361" r:id="rId4"/>
      </mc:Fallback>
    </mc:AlternateContent>
    <mc:AlternateContent xmlns:mc="http://schemas.openxmlformats.org/markup-compatibility/2006">
      <mc:Choice Requires="x14">
        <oleObject progId="Equation.3" shapeId="15362" r:id="rId6">
          <objectPr defaultSize="0" autoPict="0" r:id="rId5">
            <anchor moveWithCells="1">
              <from>
                <xdr:col>14</xdr:col>
                <xdr:colOff>171450</xdr:colOff>
                <xdr:row>15</xdr:row>
                <xdr:rowOff>28575</xdr:rowOff>
              </from>
              <to>
                <xdr:col>14</xdr:col>
                <xdr:colOff>428625</xdr:colOff>
                <xdr:row>15</xdr:row>
                <xdr:rowOff>200025</xdr:rowOff>
              </to>
            </anchor>
          </objectPr>
        </oleObject>
      </mc:Choice>
      <mc:Fallback>
        <oleObject progId="Equation.3" shapeId="15362" r:id="rId6"/>
      </mc:Fallback>
    </mc:AlternateContent>
    <mc:AlternateContent xmlns:mc="http://schemas.openxmlformats.org/markup-compatibility/2006">
      <mc:Choice Requires="x14">
        <oleObject progId="Equation.3" shapeId="15363" r:id="rId7">
          <objectPr defaultSize="0" autoPict="0" r:id="rId5">
            <anchor moveWithCells="1">
              <from>
                <xdr:col>14</xdr:col>
                <xdr:colOff>171450</xdr:colOff>
                <xdr:row>16</xdr:row>
                <xdr:rowOff>28575</xdr:rowOff>
              </from>
              <to>
                <xdr:col>14</xdr:col>
                <xdr:colOff>428625</xdr:colOff>
                <xdr:row>16</xdr:row>
                <xdr:rowOff>200025</xdr:rowOff>
              </to>
            </anchor>
          </objectPr>
        </oleObject>
      </mc:Choice>
      <mc:Fallback>
        <oleObject progId="Equation.3" shapeId="15363" r:id="rId7"/>
      </mc:Fallback>
    </mc:AlternateContent>
    <mc:AlternateContent xmlns:mc="http://schemas.openxmlformats.org/markup-compatibility/2006">
      <mc:Choice Requires="x14">
        <oleObject progId="Equation.3" shapeId="15364" r:id="rId8">
          <objectPr defaultSize="0" autoPict="0" r:id="rId5">
            <anchor moveWithCells="1">
              <from>
                <xdr:col>14</xdr:col>
                <xdr:colOff>171450</xdr:colOff>
                <xdr:row>17</xdr:row>
                <xdr:rowOff>38100</xdr:rowOff>
              </from>
              <to>
                <xdr:col>14</xdr:col>
                <xdr:colOff>428625</xdr:colOff>
                <xdr:row>17</xdr:row>
                <xdr:rowOff>209550</xdr:rowOff>
              </to>
            </anchor>
          </objectPr>
        </oleObject>
      </mc:Choice>
      <mc:Fallback>
        <oleObject progId="Equation.3" shapeId="15364" r:id="rId8"/>
      </mc:Fallback>
    </mc:AlternateContent>
    <mc:AlternateContent xmlns:mc="http://schemas.openxmlformats.org/markup-compatibility/2006">
      <mc:Choice Requires="x14">
        <oleObject progId="Equation.3" shapeId="15365" r:id="rId9">
          <objectPr defaultSize="0" autoPict="0" r:id="rId5">
            <anchor moveWithCells="1">
              <from>
                <xdr:col>14</xdr:col>
                <xdr:colOff>171450</xdr:colOff>
                <xdr:row>18</xdr:row>
                <xdr:rowOff>38100</xdr:rowOff>
              </from>
              <to>
                <xdr:col>14</xdr:col>
                <xdr:colOff>428625</xdr:colOff>
                <xdr:row>18</xdr:row>
                <xdr:rowOff>209550</xdr:rowOff>
              </to>
            </anchor>
          </objectPr>
        </oleObject>
      </mc:Choice>
      <mc:Fallback>
        <oleObject progId="Equation.3" shapeId="15365" r:id="rId9"/>
      </mc:Fallback>
    </mc:AlternateContent>
    <mc:AlternateContent xmlns:mc="http://schemas.openxmlformats.org/markup-compatibility/2006">
      <mc:Choice Requires="x14">
        <oleObject progId="Equation.3" shapeId="15366" r:id="rId10">
          <objectPr defaultSize="0" autoPict="0" r:id="rId5">
            <anchor moveWithCells="1">
              <from>
                <xdr:col>14</xdr:col>
                <xdr:colOff>171450</xdr:colOff>
                <xdr:row>19</xdr:row>
                <xdr:rowOff>28575</xdr:rowOff>
              </from>
              <to>
                <xdr:col>14</xdr:col>
                <xdr:colOff>428625</xdr:colOff>
                <xdr:row>19</xdr:row>
                <xdr:rowOff>200025</xdr:rowOff>
              </to>
            </anchor>
          </objectPr>
        </oleObject>
      </mc:Choice>
      <mc:Fallback>
        <oleObject progId="Equation.3" shapeId="15366" r:id="rId10"/>
      </mc:Fallback>
    </mc:AlternateContent>
    <mc:AlternateContent xmlns:mc="http://schemas.openxmlformats.org/markup-compatibility/2006">
      <mc:Choice Requires="x14">
        <oleObject progId="Equation.3" shapeId="15367" r:id="rId11">
          <objectPr defaultSize="0" autoPict="0" r:id="rId5">
            <anchor moveWithCells="1">
              <from>
                <xdr:col>14</xdr:col>
                <xdr:colOff>171450</xdr:colOff>
                <xdr:row>20</xdr:row>
                <xdr:rowOff>28575</xdr:rowOff>
              </from>
              <to>
                <xdr:col>14</xdr:col>
                <xdr:colOff>428625</xdr:colOff>
                <xdr:row>20</xdr:row>
                <xdr:rowOff>200025</xdr:rowOff>
              </to>
            </anchor>
          </objectPr>
        </oleObject>
      </mc:Choice>
      <mc:Fallback>
        <oleObject progId="Equation.3" shapeId="15367" r:id="rId11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X58"/>
  <sheetViews>
    <sheetView zoomScaleNormal="100" zoomScaleSheetLayoutView="100" workbookViewId="0">
      <selection activeCell="B2" sqref="B2:O2"/>
    </sheetView>
  </sheetViews>
  <sheetFormatPr defaultRowHeight="15"/>
  <cols>
    <col min="1" max="1" width="1.140625" style="51" customWidth="1"/>
    <col min="2" max="29" width="7.5703125" style="51" customWidth="1"/>
    <col min="30" max="38" width="7.140625" style="51" customWidth="1"/>
    <col min="39" max="39" width="4.42578125" style="51" customWidth="1"/>
    <col min="40" max="40" width="7.140625" style="51" customWidth="1"/>
    <col min="41" max="41" width="1.42578125" style="51" customWidth="1"/>
    <col min="48" max="276" width="9" style="51"/>
    <col min="277" max="277" width="1.140625" style="51" customWidth="1"/>
    <col min="278" max="278" width="7.5703125" style="51" customWidth="1"/>
    <col min="279" max="293" width="7.140625" style="51" customWidth="1"/>
    <col min="294" max="295" width="1.42578125" style="51" customWidth="1"/>
    <col min="296" max="296" width="6.42578125" style="51" customWidth="1"/>
    <col min="297" max="298" width="8.7109375" style="51" bestFit="1" customWidth="1"/>
    <col min="299" max="532" width="9" style="51"/>
    <col min="533" max="533" width="1.140625" style="51" customWidth="1"/>
    <col min="534" max="534" width="7.5703125" style="51" customWidth="1"/>
    <col min="535" max="549" width="7.140625" style="51" customWidth="1"/>
    <col min="550" max="551" width="1.42578125" style="51" customWidth="1"/>
    <col min="552" max="552" width="6.42578125" style="51" customWidth="1"/>
    <col min="553" max="554" width="8.7109375" style="51" bestFit="1" customWidth="1"/>
    <col min="555" max="788" width="9" style="51"/>
    <col min="789" max="789" width="1.140625" style="51" customWidth="1"/>
    <col min="790" max="790" width="7.5703125" style="51" customWidth="1"/>
    <col min="791" max="805" width="7.140625" style="51" customWidth="1"/>
    <col min="806" max="807" width="1.42578125" style="51" customWidth="1"/>
    <col min="808" max="808" width="6.42578125" style="51" customWidth="1"/>
    <col min="809" max="810" width="8.7109375" style="51" bestFit="1" customWidth="1"/>
    <col min="811" max="1044" width="9" style="51"/>
    <col min="1045" max="1045" width="1.140625" style="51" customWidth="1"/>
    <col min="1046" max="1046" width="7.5703125" style="51" customWidth="1"/>
    <col min="1047" max="1061" width="7.140625" style="51" customWidth="1"/>
    <col min="1062" max="1063" width="1.42578125" style="51" customWidth="1"/>
    <col min="1064" max="1064" width="6.42578125" style="51" customWidth="1"/>
    <col min="1065" max="1066" width="8.7109375" style="51" bestFit="1" customWidth="1"/>
    <col min="1067" max="1300" width="9" style="51"/>
    <col min="1301" max="1301" width="1.140625" style="51" customWidth="1"/>
    <col min="1302" max="1302" width="7.5703125" style="51" customWidth="1"/>
    <col min="1303" max="1317" width="7.140625" style="51" customWidth="1"/>
    <col min="1318" max="1319" width="1.42578125" style="51" customWidth="1"/>
    <col min="1320" max="1320" width="6.42578125" style="51" customWidth="1"/>
    <col min="1321" max="1322" width="8.7109375" style="51" bestFit="1" customWidth="1"/>
    <col min="1323" max="1556" width="9" style="51"/>
    <col min="1557" max="1557" width="1.140625" style="51" customWidth="1"/>
    <col min="1558" max="1558" width="7.5703125" style="51" customWidth="1"/>
    <col min="1559" max="1573" width="7.140625" style="51" customWidth="1"/>
    <col min="1574" max="1575" width="1.42578125" style="51" customWidth="1"/>
    <col min="1576" max="1576" width="6.42578125" style="51" customWidth="1"/>
    <col min="1577" max="1578" width="8.7109375" style="51" bestFit="1" customWidth="1"/>
    <col min="1579" max="1812" width="9" style="51"/>
    <col min="1813" max="1813" width="1.140625" style="51" customWidth="1"/>
    <col min="1814" max="1814" width="7.5703125" style="51" customWidth="1"/>
    <col min="1815" max="1829" width="7.140625" style="51" customWidth="1"/>
    <col min="1830" max="1831" width="1.42578125" style="51" customWidth="1"/>
    <col min="1832" max="1832" width="6.42578125" style="51" customWidth="1"/>
    <col min="1833" max="1834" width="8.7109375" style="51" bestFit="1" customWidth="1"/>
    <col min="1835" max="2068" width="9" style="51"/>
    <col min="2069" max="2069" width="1.140625" style="51" customWidth="1"/>
    <col min="2070" max="2070" width="7.5703125" style="51" customWidth="1"/>
    <col min="2071" max="2085" width="7.140625" style="51" customWidth="1"/>
    <col min="2086" max="2087" width="1.42578125" style="51" customWidth="1"/>
    <col min="2088" max="2088" width="6.42578125" style="51" customWidth="1"/>
    <col min="2089" max="2090" width="8.7109375" style="51" bestFit="1" customWidth="1"/>
    <col min="2091" max="2324" width="9" style="51"/>
    <col min="2325" max="2325" width="1.140625" style="51" customWidth="1"/>
    <col min="2326" max="2326" width="7.5703125" style="51" customWidth="1"/>
    <col min="2327" max="2341" width="7.140625" style="51" customWidth="1"/>
    <col min="2342" max="2343" width="1.42578125" style="51" customWidth="1"/>
    <col min="2344" max="2344" width="6.42578125" style="51" customWidth="1"/>
    <col min="2345" max="2346" width="8.7109375" style="51" bestFit="1" customWidth="1"/>
    <col min="2347" max="2580" width="9" style="51"/>
    <col min="2581" max="2581" width="1.140625" style="51" customWidth="1"/>
    <col min="2582" max="2582" width="7.5703125" style="51" customWidth="1"/>
    <col min="2583" max="2597" width="7.140625" style="51" customWidth="1"/>
    <col min="2598" max="2599" width="1.42578125" style="51" customWidth="1"/>
    <col min="2600" max="2600" width="6.42578125" style="51" customWidth="1"/>
    <col min="2601" max="2602" width="8.7109375" style="51" bestFit="1" customWidth="1"/>
    <col min="2603" max="2836" width="9" style="51"/>
    <col min="2837" max="2837" width="1.140625" style="51" customWidth="1"/>
    <col min="2838" max="2838" width="7.5703125" style="51" customWidth="1"/>
    <col min="2839" max="2853" width="7.140625" style="51" customWidth="1"/>
    <col min="2854" max="2855" width="1.42578125" style="51" customWidth="1"/>
    <col min="2856" max="2856" width="6.42578125" style="51" customWidth="1"/>
    <col min="2857" max="2858" width="8.7109375" style="51" bestFit="1" customWidth="1"/>
    <col min="2859" max="3092" width="9" style="51"/>
    <col min="3093" max="3093" width="1.140625" style="51" customWidth="1"/>
    <col min="3094" max="3094" width="7.5703125" style="51" customWidth="1"/>
    <col min="3095" max="3109" width="7.140625" style="51" customWidth="1"/>
    <col min="3110" max="3111" width="1.42578125" style="51" customWidth="1"/>
    <col min="3112" max="3112" width="6.42578125" style="51" customWidth="1"/>
    <col min="3113" max="3114" width="8.7109375" style="51" bestFit="1" customWidth="1"/>
    <col min="3115" max="3348" width="9" style="51"/>
    <col min="3349" max="3349" width="1.140625" style="51" customWidth="1"/>
    <col min="3350" max="3350" width="7.5703125" style="51" customWidth="1"/>
    <col min="3351" max="3365" width="7.140625" style="51" customWidth="1"/>
    <col min="3366" max="3367" width="1.42578125" style="51" customWidth="1"/>
    <col min="3368" max="3368" width="6.42578125" style="51" customWidth="1"/>
    <col min="3369" max="3370" width="8.7109375" style="51" bestFit="1" customWidth="1"/>
    <col min="3371" max="3604" width="9" style="51"/>
    <col min="3605" max="3605" width="1.140625" style="51" customWidth="1"/>
    <col min="3606" max="3606" width="7.5703125" style="51" customWidth="1"/>
    <col min="3607" max="3621" width="7.140625" style="51" customWidth="1"/>
    <col min="3622" max="3623" width="1.42578125" style="51" customWidth="1"/>
    <col min="3624" max="3624" width="6.42578125" style="51" customWidth="1"/>
    <col min="3625" max="3626" width="8.7109375" style="51" bestFit="1" customWidth="1"/>
    <col min="3627" max="3860" width="9" style="51"/>
    <col min="3861" max="3861" width="1.140625" style="51" customWidth="1"/>
    <col min="3862" max="3862" width="7.5703125" style="51" customWidth="1"/>
    <col min="3863" max="3877" width="7.140625" style="51" customWidth="1"/>
    <col min="3878" max="3879" width="1.42578125" style="51" customWidth="1"/>
    <col min="3880" max="3880" width="6.42578125" style="51" customWidth="1"/>
    <col min="3881" max="3882" width="8.7109375" style="51" bestFit="1" customWidth="1"/>
    <col min="3883" max="4116" width="9" style="51"/>
    <col min="4117" max="4117" width="1.140625" style="51" customWidth="1"/>
    <col min="4118" max="4118" width="7.5703125" style="51" customWidth="1"/>
    <col min="4119" max="4133" width="7.140625" style="51" customWidth="1"/>
    <col min="4134" max="4135" width="1.42578125" style="51" customWidth="1"/>
    <col min="4136" max="4136" width="6.42578125" style="51" customWidth="1"/>
    <col min="4137" max="4138" width="8.7109375" style="51" bestFit="1" customWidth="1"/>
    <col min="4139" max="4372" width="9" style="51"/>
    <col min="4373" max="4373" width="1.140625" style="51" customWidth="1"/>
    <col min="4374" max="4374" width="7.5703125" style="51" customWidth="1"/>
    <col min="4375" max="4389" width="7.140625" style="51" customWidth="1"/>
    <col min="4390" max="4391" width="1.42578125" style="51" customWidth="1"/>
    <col min="4392" max="4392" width="6.42578125" style="51" customWidth="1"/>
    <col min="4393" max="4394" width="8.7109375" style="51" bestFit="1" customWidth="1"/>
    <col min="4395" max="4628" width="9" style="51"/>
    <col min="4629" max="4629" width="1.140625" style="51" customWidth="1"/>
    <col min="4630" max="4630" width="7.5703125" style="51" customWidth="1"/>
    <col min="4631" max="4645" width="7.140625" style="51" customWidth="1"/>
    <col min="4646" max="4647" width="1.42578125" style="51" customWidth="1"/>
    <col min="4648" max="4648" width="6.42578125" style="51" customWidth="1"/>
    <col min="4649" max="4650" width="8.7109375" style="51" bestFit="1" customWidth="1"/>
    <col min="4651" max="4884" width="9" style="51"/>
    <col min="4885" max="4885" width="1.140625" style="51" customWidth="1"/>
    <col min="4886" max="4886" width="7.5703125" style="51" customWidth="1"/>
    <col min="4887" max="4901" width="7.140625" style="51" customWidth="1"/>
    <col min="4902" max="4903" width="1.42578125" style="51" customWidth="1"/>
    <col min="4904" max="4904" width="6.42578125" style="51" customWidth="1"/>
    <col min="4905" max="4906" width="8.7109375" style="51" bestFit="1" customWidth="1"/>
    <col min="4907" max="5140" width="9" style="51"/>
    <col min="5141" max="5141" width="1.140625" style="51" customWidth="1"/>
    <col min="5142" max="5142" width="7.5703125" style="51" customWidth="1"/>
    <col min="5143" max="5157" width="7.140625" style="51" customWidth="1"/>
    <col min="5158" max="5159" width="1.42578125" style="51" customWidth="1"/>
    <col min="5160" max="5160" width="6.42578125" style="51" customWidth="1"/>
    <col min="5161" max="5162" width="8.7109375" style="51" bestFit="1" customWidth="1"/>
    <col min="5163" max="5396" width="9" style="51"/>
    <col min="5397" max="5397" width="1.140625" style="51" customWidth="1"/>
    <col min="5398" max="5398" width="7.5703125" style="51" customWidth="1"/>
    <col min="5399" max="5413" width="7.140625" style="51" customWidth="1"/>
    <col min="5414" max="5415" width="1.42578125" style="51" customWidth="1"/>
    <col min="5416" max="5416" width="6.42578125" style="51" customWidth="1"/>
    <col min="5417" max="5418" width="8.7109375" style="51" bestFit="1" customWidth="1"/>
    <col min="5419" max="5652" width="9" style="51"/>
    <col min="5653" max="5653" width="1.140625" style="51" customWidth="1"/>
    <col min="5654" max="5654" width="7.5703125" style="51" customWidth="1"/>
    <col min="5655" max="5669" width="7.140625" style="51" customWidth="1"/>
    <col min="5670" max="5671" width="1.42578125" style="51" customWidth="1"/>
    <col min="5672" max="5672" width="6.42578125" style="51" customWidth="1"/>
    <col min="5673" max="5674" width="8.7109375" style="51" bestFit="1" customWidth="1"/>
    <col min="5675" max="5908" width="9" style="51"/>
    <col min="5909" max="5909" width="1.140625" style="51" customWidth="1"/>
    <col min="5910" max="5910" width="7.5703125" style="51" customWidth="1"/>
    <col min="5911" max="5925" width="7.140625" style="51" customWidth="1"/>
    <col min="5926" max="5927" width="1.42578125" style="51" customWidth="1"/>
    <col min="5928" max="5928" width="6.42578125" style="51" customWidth="1"/>
    <col min="5929" max="5930" width="8.7109375" style="51" bestFit="1" customWidth="1"/>
    <col min="5931" max="6164" width="9" style="51"/>
    <col min="6165" max="6165" width="1.140625" style="51" customWidth="1"/>
    <col min="6166" max="6166" width="7.5703125" style="51" customWidth="1"/>
    <col min="6167" max="6181" width="7.140625" style="51" customWidth="1"/>
    <col min="6182" max="6183" width="1.42578125" style="51" customWidth="1"/>
    <col min="6184" max="6184" width="6.42578125" style="51" customWidth="1"/>
    <col min="6185" max="6186" width="8.7109375" style="51" bestFit="1" customWidth="1"/>
    <col min="6187" max="6420" width="9" style="51"/>
    <col min="6421" max="6421" width="1.140625" style="51" customWidth="1"/>
    <col min="6422" max="6422" width="7.5703125" style="51" customWidth="1"/>
    <col min="6423" max="6437" width="7.140625" style="51" customWidth="1"/>
    <col min="6438" max="6439" width="1.42578125" style="51" customWidth="1"/>
    <col min="6440" max="6440" width="6.42578125" style="51" customWidth="1"/>
    <col min="6441" max="6442" width="8.7109375" style="51" bestFit="1" customWidth="1"/>
    <col min="6443" max="6676" width="9" style="51"/>
    <col min="6677" max="6677" width="1.140625" style="51" customWidth="1"/>
    <col min="6678" max="6678" width="7.5703125" style="51" customWidth="1"/>
    <col min="6679" max="6693" width="7.140625" style="51" customWidth="1"/>
    <col min="6694" max="6695" width="1.42578125" style="51" customWidth="1"/>
    <col min="6696" max="6696" width="6.42578125" style="51" customWidth="1"/>
    <col min="6697" max="6698" width="8.7109375" style="51" bestFit="1" customWidth="1"/>
    <col min="6699" max="6932" width="9" style="51"/>
    <col min="6933" max="6933" width="1.140625" style="51" customWidth="1"/>
    <col min="6934" max="6934" width="7.5703125" style="51" customWidth="1"/>
    <col min="6935" max="6949" width="7.140625" style="51" customWidth="1"/>
    <col min="6950" max="6951" width="1.42578125" style="51" customWidth="1"/>
    <col min="6952" max="6952" width="6.42578125" style="51" customWidth="1"/>
    <col min="6953" max="6954" width="8.7109375" style="51" bestFit="1" customWidth="1"/>
    <col min="6955" max="7188" width="9" style="51"/>
    <col min="7189" max="7189" width="1.140625" style="51" customWidth="1"/>
    <col min="7190" max="7190" width="7.5703125" style="51" customWidth="1"/>
    <col min="7191" max="7205" width="7.140625" style="51" customWidth="1"/>
    <col min="7206" max="7207" width="1.42578125" style="51" customWidth="1"/>
    <col min="7208" max="7208" width="6.42578125" style="51" customWidth="1"/>
    <col min="7209" max="7210" width="8.7109375" style="51" bestFit="1" customWidth="1"/>
    <col min="7211" max="7444" width="9" style="51"/>
    <col min="7445" max="7445" width="1.140625" style="51" customWidth="1"/>
    <col min="7446" max="7446" width="7.5703125" style="51" customWidth="1"/>
    <col min="7447" max="7461" width="7.140625" style="51" customWidth="1"/>
    <col min="7462" max="7463" width="1.42578125" style="51" customWidth="1"/>
    <col min="7464" max="7464" width="6.42578125" style="51" customWidth="1"/>
    <col min="7465" max="7466" width="8.7109375" style="51" bestFit="1" customWidth="1"/>
    <col min="7467" max="7700" width="9" style="51"/>
    <col min="7701" max="7701" width="1.140625" style="51" customWidth="1"/>
    <col min="7702" max="7702" width="7.5703125" style="51" customWidth="1"/>
    <col min="7703" max="7717" width="7.140625" style="51" customWidth="1"/>
    <col min="7718" max="7719" width="1.42578125" style="51" customWidth="1"/>
    <col min="7720" max="7720" width="6.42578125" style="51" customWidth="1"/>
    <col min="7721" max="7722" width="8.7109375" style="51" bestFit="1" customWidth="1"/>
    <col min="7723" max="7956" width="9" style="51"/>
    <col min="7957" max="7957" width="1.140625" style="51" customWidth="1"/>
    <col min="7958" max="7958" width="7.5703125" style="51" customWidth="1"/>
    <col min="7959" max="7973" width="7.140625" style="51" customWidth="1"/>
    <col min="7974" max="7975" width="1.42578125" style="51" customWidth="1"/>
    <col min="7976" max="7976" width="6.42578125" style="51" customWidth="1"/>
    <col min="7977" max="7978" width="8.7109375" style="51" bestFit="1" customWidth="1"/>
    <col min="7979" max="8212" width="9" style="51"/>
    <col min="8213" max="8213" width="1.140625" style="51" customWidth="1"/>
    <col min="8214" max="8214" width="7.5703125" style="51" customWidth="1"/>
    <col min="8215" max="8229" width="7.140625" style="51" customWidth="1"/>
    <col min="8230" max="8231" width="1.42578125" style="51" customWidth="1"/>
    <col min="8232" max="8232" width="6.42578125" style="51" customWidth="1"/>
    <col min="8233" max="8234" width="8.7109375" style="51" bestFit="1" customWidth="1"/>
    <col min="8235" max="8468" width="9" style="51"/>
    <col min="8469" max="8469" width="1.140625" style="51" customWidth="1"/>
    <col min="8470" max="8470" width="7.5703125" style="51" customWidth="1"/>
    <col min="8471" max="8485" width="7.140625" style="51" customWidth="1"/>
    <col min="8486" max="8487" width="1.42578125" style="51" customWidth="1"/>
    <col min="8488" max="8488" width="6.42578125" style="51" customWidth="1"/>
    <col min="8489" max="8490" width="8.7109375" style="51" bestFit="1" customWidth="1"/>
    <col min="8491" max="8724" width="9" style="51"/>
    <col min="8725" max="8725" width="1.140625" style="51" customWidth="1"/>
    <col min="8726" max="8726" width="7.5703125" style="51" customWidth="1"/>
    <col min="8727" max="8741" width="7.140625" style="51" customWidth="1"/>
    <col min="8742" max="8743" width="1.42578125" style="51" customWidth="1"/>
    <col min="8744" max="8744" width="6.42578125" style="51" customWidth="1"/>
    <col min="8745" max="8746" width="8.7109375" style="51" bestFit="1" customWidth="1"/>
    <col min="8747" max="8980" width="9" style="51"/>
    <col min="8981" max="8981" width="1.140625" style="51" customWidth="1"/>
    <col min="8982" max="8982" width="7.5703125" style="51" customWidth="1"/>
    <col min="8983" max="8997" width="7.140625" style="51" customWidth="1"/>
    <col min="8998" max="8999" width="1.42578125" style="51" customWidth="1"/>
    <col min="9000" max="9000" width="6.42578125" style="51" customWidth="1"/>
    <col min="9001" max="9002" width="8.7109375" style="51" bestFit="1" customWidth="1"/>
    <col min="9003" max="9236" width="9" style="51"/>
    <col min="9237" max="9237" width="1.140625" style="51" customWidth="1"/>
    <col min="9238" max="9238" width="7.5703125" style="51" customWidth="1"/>
    <col min="9239" max="9253" width="7.140625" style="51" customWidth="1"/>
    <col min="9254" max="9255" width="1.42578125" style="51" customWidth="1"/>
    <col min="9256" max="9256" width="6.42578125" style="51" customWidth="1"/>
    <col min="9257" max="9258" width="8.7109375" style="51" bestFit="1" customWidth="1"/>
    <col min="9259" max="9492" width="9" style="51"/>
    <col min="9493" max="9493" width="1.140625" style="51" customWidth="1"/>
    <col min="9494" max="9494" width="7.5703125" style="51" customWidth="1"/>
    <col min="9495" max="9509" width="7.140625" style="51" customWidth="1"/>
    <col min="9510" max="9511" width="1.42578125" style="51" customWidth="1"/>
    <col min="9512" max="9512" width="6.42578125" style="51" customWidth="1"/>
    <col min="9513" max="9514" width="8.7109375" style="51" bestFit="1" customWidth="1"/>
    <col min="9515" max="9748" width="9" style="51"/>
    <col min="9749" max="9749" width="1.140625" style="51" customWidth="1"/>
    <col min="9750" max="9750" width="7.5703125" style="51" customWidth="1"/>
    <col min="9751" max="9765" width="7.140625" style="51" customWidth="1"/>
    <col min="9766" max="9767" width="1.42578125" style="51" customWidth="1"/>
    <col min="9768" max="9768" width="6.42578125" style="51" customWidth="1"/>
    <col min="9769" max="9770" width="8.7109375" style="51" bestFit="1" customWidth="1"/>
    <col min="9771" max="10004" width="9" style="51"/>
    <col min="10005" max="10005" width="1.140625" style="51" customWidth="1"/>
    <col min="10006" max="10006" width="7.5703125" style="51" customWidth="1"/>
    <col min="10007" max="10021" width="7.140625" style="51" customWidth="1"/>
    <col min="10022" max="10023" width="1.42578125" style="51" customWidth="1"/>
    <col min="10024" max="10024" width="6.42578125" style="51" customWidth="1"/>
    <col min="10025" max="10026" width="8.7109375" style="51" bestFit="1" customWidth="1"/>
    <col min="10027" max="10260" width="9" style="51"/>
    <col min="10261" max="10261" width="1.140625" style="51" customWidth="1"/>
    <col min="10262" max="10262" width="7.5703125" style="51" customWidth="1"/>
    <col min="10263" max="10277" width="7.140625" style="51" customWidth="1"/>
    <col min="10278" max="10279" width="1.42578125" style="51" customWidth="1"/>
    <col min="10280" max="10280" width="6.42578125" style="51" customWidth="1"/>
    <col min="10281" max="10282" width="8.7109375" style="51" bestFit="1" customWidth="1"/>
    <col min="10283" max="10516" width="9" style="51"/>
    <col min="10517" max="10517" width="1.140625" style="51" customWidth="1"/>
    <col min="10518" max="10518" width="7.5703125" style="51" customWidth="1"/>
    <col min="10519" max="10533" width="7.140625" style="51" customWidth="1"/>
    <col min="10534" max="10535" width="1.42578125" style="51" customWidth="1"/>
    <col min="10536" max="10536" width="6.42578125" style="51" customWidth="1"/>
    <col min="10537" max="10538" width="8.7109375" style="51" bestFit="1" customWidth="1"/>
    <col min="10539" max="10772" width="9" style="51"/>
    <col min="10773" max="10773" width="1.140625" style="51" customWidth="1"/>
    <col min="10774" max="10774" width="7.5703125" style="51" customWidth="1"/>
    <col min="10775" max="10789" width="7.140625" style="51" customWidth="1"/>
    <col min="10790" max="10791" width="1.42578125" style="51" customWidth="1"/>
    <col min="10792" max="10792" width="6.42578125" style="51" customWidth="1"/>
    <col min="10793" max="10794" width="8.7109375" style="51" bestFit="1" customWidth="1"/>
    <col min="10795" max="11028" width="9" style="51"/>
    <col min="11029" max="11029" width="1.140625" style="51" customWidth="1"/>
    <col min="11030" max="11030" width="7.5703125" style="51" customWidth="1"/>
    <col min="11031" max="11045" width="7.140625" style="51" customWidth="1"/>
    <col min="11046" max="11047" width="1.42578125" style="51" customWidth="1"/>
    <col min="11048" max="11048" width="6.42578125" style="51" customWidth="1"/>
    <col min="11049" max="11050" width="8.7109375" style="51" bestFit="1" customWidth="1"/>
    <col min="11051" max="11284" width="9" style="51"/>
    <col min="11285" max="11285" width="1.140625" style="51" customWidth="1"/>
    <col min="11286" max="11286" width="7.5703125" style="51" customWidth="1"/>
    <col min="11287" max="11301" width="7.140625" style="51" customWidth="1"/>
    <col min="11302" max="11303" width="1.42578125" style="51" customWidth="1"/>
    <col min="11304" max="11304" width="6.42578125" style="51" customWidth="1"/>
    <col min="11305" max="11306" width="8.7109375" style="51" bestFit="1" customWidth="1"/>
    <col min="11307" max="11540" width="9" style="51"/>
    <col min="11541" max="11541" width="1.140625" style="51" customWidth="1"/>
    <col min="11542" max="11542" width="7.5703125" style="51" customWidth="1"/>
    <col min="11543" max="11557" width="7.140625" style="51" customWidth="1"/>
    <col min="11558" max="11559" width="1.42578125" style="51" customWidth="1"/>
    <col min="11560" max="11560" width="6.42578125" style="51" customWidth="1"/>
    <col min="11561" max="11562" width="8.7109375" style="51" bestFit="1" customWidth="1"/>
    <col min="11563" max="11796" width="9" style="51"/>
    <col min="11797" max="11797" width="1.140625" style="51" customWidth="1"/>
    <col min="11798" max="11798" width="7.5703125" style="51" customWidth="1"/>
    <col min="11799" max="11813" width="7.140625" style="51" customWidth="1"/>
    <col min="11814" max="11815" width="1.42578125" style="51" customWidth="1"/>
    <col min="11816" max="11816" width="6.42578125" style="51" customWidth="1"/>
    <col min="11817" max="11818" width="8.7109375" style="51" bestFit="1" customWidth="1"/>
    <col min="11819" max="12052" width="9" style="51"/>
    <col min="12053" max="12053" width="1.140625" style="51" customWidth="1"/>
    <col min="12054" max="12054" width="7.5703125" style="51" customWidth="1"/>
    <col min="12055" max="12069" width="7.140625" style="51" customWidth="1"/>
    <col min="12070" max="12071" width="1.42578125" style="51" customWidth="1"/>
    <col min="12072" max="12072" width="6.42578125" style="51" customWidth="1"/>
    <col min="12073" max="12074" width="8.7109375" style="51" bestFit="1" customWidth="1"/>
    <col min="12075" max="12308" width="9" style="51"/>
    <col min="12309" max="12309" width="1.140625" style="51" customWidth="1"/>
    <col min="12310" max="12310" width="7.5703125" style="51" customWidth="1"/>
    <col min="12311" max="12325" width="7.140625" style="51" customWidth="1"/>
    <col min="12326" max="12327" width="1.42578125" style="51" customWidth="1"/>
    <col min="12328" max="12328" width="6.42578125" style="51" customWidth="1"/>
    <col min="12329" max="12330" width="8.7109375" style="51" bestFit="1" customWidth="1"/>
    <col min="12331" max="12564" width="9" style="51"/>
    <col min="12565" max="12565" width="1.140625" style="51" customWidth="1"/>
    <col min="12566" max="12566" width="7.5703125" style="51" customWidth="1"/>
    <col min="12567" max="12581" width="7.140625" style="51" customWidth="1"/>
    <col min="12582" max="12583" width="1.42578125" style="51" customWidth="1"/>
    <col min="12584" max="12584" width="6.42578125" style="51" customWidth="1"/>
    <col min="12585" max="12586" width="8.7109375" style="51" bestFit="1" customWidth="1"/>
    <col min="12587" max="12820" width="9" style="51"/>
    <col min="12821" max="12821" width="1.140625" style="51" customWidth="1"/>
    <col min="12822" max="12822" width="7.5703125" style="51" customWidth="1"/>
    <col min="12823" max="12837" width="7.140625" style="51" customWidth="1"/>
    <col min="12838" max="12839" width="1.42578125" style="51" customWidth="1"/>
    <col min="12840" max="12840" width="6.42578125" style="51" customWidth="1"/>
    <col min="12841" max="12842" width="8.7109375" style="51" bestFit="1" customWidth="1"/>
    <col min="12843" max="13076" width="9" style="51"/>
    <col min="13077" max="13077" width="1.140625" style="51" customWidth="1"/>
    <col min="13078" max="13078" width="7.5703125" style="51" customWidth="1"/>
    <col min="13079" max="13093" width="7.140625" style="51" customWidth="1"/>
    <col min="13094" max="13095" width="1.42578125" style="51" customWidth="1"/>
    <col min="13096" max="13096" width="6.42578125" style="51" customWidth="1"/>
    <col min="13097" max="13098" width="8.7109375" style="51" bestFit="1" customWidth="1"/>
    <col min="13099" max="13332" width="9" style="51"/>
    <col min="13333" max="13333" width="1.140625" style="51" customWidth="1"/>
    <col min="13334" max="13334" width="7.5703125" style="51" customWidth="1"/>
    <col min="13335" max="13349" width="7.140625" style="51" customWidth="1"/>
    <col min="13350" max="13351" width="1.42578125" style="51" customWidth="1"/>
    <col min="13352" max="13352" width="6.42578125" style="51" customWidth="1"/>
    <col min="13353" max="13354" width="8.7109375" style="51" bestFit="1" customWidth="1"/>
    <col min="13355" max="13588" width="9" style="51"/>
    <col min="13589" max="13589" width="1.140625" style="51" customWidth="1"/>
    <col min="13590" max="13590" width="7.5703125" style="51" customWidth="1"/>
    <col min="13591" max="13605" width="7.140625" style="51" customWidth="1"/>
    <col min="13606" max="13607" width="1.42578125" style="51" customWidth="1"/>
    <col min="13608" max="13608" width="6.42578125" style="51" customWidth="1"/>
    <col min="13609" max="13610" width="8.7109375" style="51" bestFit="1" customWidth="1"/>
    <col min="13611" max="13844" width="9" style="51"/>
    <col min="13845" max="13845" width="1.140625" style="51" customWidth="1"/>
    <col min="13846" max="13846" width="7.5703125" style="51" customWidth="1"/>
    <col min="13847" max="13861" width="7.140625" style="51" customWidth="1"/>
    <col min="13862" max="13863" width="1.42578125" style="51" customWidth="1"/>
    <col min="13864" max="13864" width="6.42578125" style="51" customWidth="1"/>
    <col min="13865" max="13866" width="8.7109375" style="51" bestFit="1" customWidth="1"/>
    <col min="13867" max="14100" width="9" style="51"/>
    <col min="14101" max="14101" width="1.140625" style="51" customWidth="1"/>
    <col min="14102" max="14102" width="7.5703125" style="51" customWidth="1"/>
    <col min="14103" max="14117" width="7.140625" style="51" customWidth="1"/>
    <col min="14118" max="14119" width="1.42578125" style="51" customWidth="1"/>
    <col min="14120" max="14120" width="6.42578125" style="51" customWidth="1"/>
    <col min="14121" max="14122" width="8.7109375" style="51" bestFit="1" customWidth="1"/>
    <col min="14123" max="14356" width="9" style="51"/>
    <col min="14357" max="14357" width="1.140625" style="51" customWidth="1"/>
    <col min="14358" max="14358" width="7.5703125" style="51" customWidth="1"/>
    <col min="14359" max="14373" width="7.140625" style="51" customWidth="1"/>
    <col min="14374" max="14375" width="1.42578125" style="51" customWidth="1"/>
    <col min="14376" max="14376" width="6.42578125" style="51" customWidth="1"/>
    <col min="14377" max="14378" width="8.7109375" style="51" bestFit="1" customWidth="1"/>
    <col min="14379" max="14612" width="9" style="51"/>
    <col min="14613" max="14613" width="1.140625" style="51" customWidth="1"/>
    <col min="14614" max="14614" width="7.5703125" style="51" customWidth="1"/>
    <col min="14615" max="14629" width="7.140625" style="51" customWidth="1"/>
    <col min="14630" max="14631" width="1.42578125" style="51" customWidth="1"/>
    <col min="14632" max="14632" width="6.42578125" style="51" customWidth="1"/>
    <col min="14633" max="14634" width="8.7109375" style="51" bestFit="1" customWidth="1"/>
    <col min="14635" max="14868" width="9" style="51"/>
    <col min="14869" max="14869" width="1.140625" style="51" customWidth="1"/>
    <col min="14870" max="14870" width="7.5703125" style="51" customWidth="1"/>
    <col min="14871" max="14885" width="7.140625" style="51" customWidth="1"/>
    <col min="14886" max="14887" width="1.42578125" style="51" customWidth="1"/>
    <col min="14888" max="14888" width="6.42578125" style="51" customWidth="1"/>
    <col min="14889" max="14890" width="8.7109375" style="51" bestFit="1" customWidth="1"/>
    <col min="14891" max="15124" width="9" style="51"/>
    <col min="15125" max="15125" width="1.140625" style="51" customWidth="1"/>
    <col min="15126" max="15126" width="7.5703125" style="51" customWidth="1"/>
    <col min="15127" max="15141" width="7.140625" style="51" customWidth="1"/>
    <col min="15142" max="15143" width="1.42578125" style="51" customWidth="1"/>
    <col min="15144" max="15144" width="6.42578125" style="51" customWidth="1"/>
    <col min="15145" max="15146" width="8.7109375" style="51" bestFit="1" customWidth="1"/>
    <col min="15147" max="15380" width="9" style="51"/>
    <col min="15381" max="15381" width="1.140625" style="51" customWidth="1"/>
    <col min="15382" max="15382" width="7.5703125" style="51" customWidth="1"/>
    <col min="15383" max="15397" width="7.140625" style="51" customWidth="1"/>
    <col min="15398" max="15399" width="1.42578125" style="51" customWidth="1"/>
    <col min="15400" max="15400" width="6.42578125" style="51" customWidth="1"/>
    <col min="15401" max="15402" width="8.7109375" style="51" bestFit="1" customWidth="1"/>
    <col min="15403" max="15636" width="9" style="51"/>
    <col min="15637" max="15637" width="1.140625" style="51" customWidth="1"/>
    <col min="15638" max="15638" width="7.5703125" style="51" customWidth="1"/>
    <col min="15639" max="15653" width="7.140625" style="51" customWidth="1"/>
    <col min="15654" max="15655" width="1.42578125" style="51" customWidth="1"/>
    <col min="15656" max="15656" width="6.42578125" style="51" customWidth="1"/>
    <col min="15657" max="15658" width="8.7109375" style="51" bestFit="1" customWidth="1"/>
    <col min="15659" max="15892" width="9" style="51"/>
    <col min="15893" max="15893" width="1.140625" style="51" customWidth="1"/>
    <col min="15894" max="15894" width="7.5703125" style="51" customWidth="1"/>
    <col min="15895" max="15909" width="7.140625" style="51" customWidth="1"/>
    <col min="15910" max="15911" width="1.42578125" style="51" customWidth="1"/>
    <col min="15912" max="15912" width="6.42578125" style="51" customWidth="1"/>
    <col min="15913" max="15914" width="8.7109375" style="51" bestFit="1" customWidth="1"/>
    <col min="15915" max="16148" width="9" style="51"/>
    <col min="16149" max="16149" width="1.140625" style="51" customWidth="1"/>
    <col min="16150" max="16150" width="7.5703125" style="51" customWidth="1"/>
    <col min="16151" max="16165" width="7.140625" style="51" customWidth="1"/>
    <col min="16166" max="16167" width="1.42578125" style="51" customWidth="1"/>
    <col min="16168" max="16168" width="6.42578125" style="51" customWidth="1"/>
    <col min="16169" max="16170" width="8.7109375" style="51" bestFit="1" customWidth="1"/>
    <col min="16171" max="16384" width="9" style="51"/>
  </cols>
  <sheetData>
    <row r="1" spans="1:50" ht="18" customHeight="1"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50" ht="33" customHeight="1">
      <c r="B2" s="462" t="s">
        <v>43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</row>
    <row r="3" spans="1:50" ht="9.75" customHeight="1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5"/>
      <c r="AE3" s="55"/>
      <c r="AF3" s="55"/>
      <c r="AG3" s="55"/>
      <c r="AH3" s="56"/>
      <c r="AI3" s="56"/>
      <c r="AJ3" s="57"/>
      <c r="AK3" s="57"/>
      <c r="AO3" s="58"/>
    </row>
    <row r="4" spans="1:50" ht="9.75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5"/>
      <c r="AE4" s="55"/>
      <c r="AF4" s="55"/>
      <c r="AG4" s="55"/>
      <c r="AH4" s="56"/>
      <c r="AI4" s="56"/>
      <c r="AJ4" s="57"/>
      <c r="AK4" s="57"/>
      <c r="AO4" s="58"/>
    </row>
    <row r="5" spans="1:50" s="21" customFormat="1" ht="18" customHeight="1">
      <c r="B5" s="463" t="s">
        <v>16</v>
      </c>
      <c r="C5" s="463"/>
      <c r="D5" s="59" t="s">
        <v>17</v>
      </c>
      <c r="E5" s="346">
        <f>'Data Record (pitch)'!G15</f>
        <v>10</v>
      </c>
      <c r="F5" s="346"/>
      <c r="G5" s="60" t="s">
        <v>18</v>
      </c>
      <c r="H5" s="59" t="s">
        <v>19</v>
      </c>
      <c r="I5" s="346">
        <f>'Data Record (pitch)'!K15</f>
        <v>0.8</v>
      </c>
      <c r="J5" s="346"/>
      <c r="K5" s="347" t="s">
        <v>20</v>
      </c>
      <c r="L5" s="347"/>
      <c r="Q5" s="384" t="s">
        <v>25</v>
      </c>
      <c r="R5" s="385"/>
      <c r="X5" s="23"/>
      <c r="AD5" s="24"/>
      <c r="AH5" s="25"/>
      <c r="AI5" s="61">
        <v>0.2</v>
      </c>
      <c r="AJ5" s="26"/>
      <c r="AK5" s="26"/>
      <c r="AL5" s="26"/>
      <c r="AM5" s="26"/>
    </row>
    <row r="6" spans="1:50" s="21" customFormat="1" ht="18" customHeight="1">
      <c r="B6" s="23" t="s">
        <v>23</v>
      </c>
      <c r="C6" s="23"/>
      <c r="D6" s="361">
        <f>'Data Record (pitch)'!G16</f>
        <v>60</v>
      </c>
      <c r="E6" s="361"/>
      <c r="F6" s="23"/>
      <c r="Q6" s="33">
        <v>0.2</v>
      </c>
      <c r="R6" s="34">
        <v>1.1000000000000001</v>
      </c>
      <c r="AH6" s="25"/>
      <c r="AI6" s="61">
        <v>0.25</v>
      </c>
      <c r="AJ6" s="28"/>
      <c r="AK6" s="28"/>
      <c r="AL6" s="28"/>
      <c r="AM6" s="28"/>
    </row>
    <row r="7" spans="1:50" s="21" customFormat="1" ht="18" customHeight="1">
      <c r="B7" s="29" t="s">
        <v>26</v>
      </c>
      <c r="D7" s="361">
        <f>'Data Record (pitch)'!D17</f>
        <v>16</v>
      </c>
      <c r="E7" s="361"/>
      <c r="F7" s="27"/>
      <c r="G7" s="23" t="s">
        <v>21</v>
      </c>
      <c r="H7" s="23"/>
      <c r="I7" s="62">
        <f>'Data Record (pitch)'!X15</f>
        <v>9.3071793539448979</v>
      </c>
      <c r="J7" s="23" t="s">
        <v>22</v>
      </c>
      <c r="K7" s="23"/>
      <c r="N7" s="31"/>
      <c r="O7" s="31"/>
      <c r="P7" s="32"/>
      <c r="Q7" s="33">
        <v>0.25</v>
      </c>
      <c r="R7" s="34">
        <v>1.35</v>
      </c>
      <c r="AD7" s="24"/>
      <c r="AH7" s="25"/>
      <c r="AI7" s="61">
        <v>0.28000000000000003</v>
      </c>
      <c r="AJ7" s="28"/>
      <c r="AK7" s="28"/>
      <c r="AL7" s="28"/>
      <c r="AM7" s="28"/>
    </row>
    <row r="8" spans="1:50" ht="18" customHeight="1">
      <c r="B8" s="54"/>
      <c r="C8" s="54"/>
      <c r="D8" s="54"/>
      <c r="E8" s="54"/>
      <c r="F8" s="54"/>
      <c r="G8" s="464" t="s">
        <v>24</v>
      </c>
      <c r="H8" s="464"/>
      <c r="I8" s="63">
        <f>'Data Record (pitch)'!X16</f>
        <v>1.35</v>
      </c>
      <c r="J8" s="64" t="s">
        <v>22</v>
      </c>
      <c r="K8" s="64"/>
      <c r="N8" s="54"/>
      <c r="O8" s="54"/>
      <c r="P8" s="54"/>
      <c r="Q8" s="33">
        <v>0.28000000000000003</v>
      </c>
      <c r="R8" s="34">
        <v>1.65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5"/>
      <c r="AE8" s="55"/>
      <c r="AF8" s="55"/>
      <c r="AG8" s="55"/>
      <c r="AH8" s="56"/>
      <c r="AI8" s="56"/>
      <c r="AJ8" s="57"/>
      <c r="AK8" s="57"/>
      <c r="AO8" s="58"/>
    </row>
    <row r="9" spans="1:50" ht="18" customHeight="1">
      <c r="B9" s="54"/>
      <c r="C9" s="54"/>
      <c r="D9" s="54"/>
      <c r="E9" s="54"/>
      <c r="F9" s="54"/>
      <c r="G9" s="463" t="s">
        <v>27</v>
      </c>
      <c r="H9" s="463"/>
      <c r="I9" s="65">
        <f>'Data Record (pitch)'!X17</f>
        <v>0.4618802153517006</v>
      </c>
      <c r="J9" s="64" t="s">
        <v>22</v>
      </c>
      <c r="K9" s="64"/>
      <c r="N9" s="54"/>
      <c r="O9" s="54"/>
      <c r="P9" s="54"/>
      <c r="Q9" s="33">
        <v>0.45500000000000002</v>
      </c>
      <c r="R9" s="34">
        <v>2.0499999999999998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5"/>
      <c r="AF9" s="55"/>
      <c r="AG9" s="55"/>
      <c r="AH9" s="56"/>
      <c r="AI9" s="56"/>
      <c r="AJ9" s="57"/>
      <c r="AK9" s="57"/>
      <c r="AO9" s="58"/>
    </row>
    <row r="10" spans="1:50" ht="18" customHeight="1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4">
        <v>0.53</v>
      </c>
      <c r="R10" s="34">
        <v>2.5499999999999998</v>
      </c>
      <c r="S10" s="52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7"/>
      <c r="AE10" s="57"/>
      <c r="AF10" s="57"/>
      <c r="AG10" s="57"/>
      <c r="AL10" s="57" t="s">
        <v>44</v>
      </c>
    </row>
    <row r="11" spans="1:50" ht="18" customHeight="1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7" t="s">
        <v>44</v>
      </c>
      <c r="P11" s="54"/>
      <c r="Q11" s="39">
        <v>0.62</v>
      </c>
      <c r="R11" s="34">
        <v>3.2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7"/>
      <c r="AE11" s="57"/>
      <c r="AF11" s="57"/>
      <c r="AG11" s="57"/>
      <c r="AL11" s="57"/>
    </row>
    <row r="12" spans="1:50" ht="21.75">
      <c r="B12" s="465" t="s">
        <v>45</v>
      </c>
      <c r="C12" s="467" t="s">
        <v>46</v>
      </c>
      <c r="D12" s="468"/>
      <c r="E12" s="469"/>
      <c r="F12" s="473" t="s">
        <v>47</v>
      </c>
      <c r="G12" s="474"/>
      <c r="H12" s="475" t="s">
        <v>48</v>
      </c>
      <c r="I12" s="476"/>
      <c r="J12" s="477" t="s">
        <v>49</v>
      </c>
      <c r="K12" s="478"/>
      <c r="L12" s="481" t="s">
        <v>50</v>
      </c>
      <c r="M12" s="483" t="s">
        <v>51</v>
      </c>
      <c r="N12" s="484"/>
      <c r="O12" s="485" t="s">
        <v>52</v>
      </c>
      <c r="Q12" s="39">
        <v>0.72499999999999998</v>
      </c>
      <c r="R12" s="33">
        <v>4</v>
      </c>
      <c r="AV12" s="66"/>
      <c r="AW12" s="66"/>
      <c r="AX12" s="66"/>
    </row>
    <row r="13" spans="1:50" ht="18" customHeight="1">
      <c r="B13" s="466"/>
      <c r="C13" s="470"/>
      <c r="D13" s="471"/>
      <c r="E13" s="472"/>
      <c r="F13" s="487" t="s">
        <v>53</v>
      </c>
      <c r="G13" s="488"/>
      <c r="H13" s="489" t="s">
        <v>54</v>
      </c>
      <c r="I13" s="490"/>
      <c r="J13" s="479"/>
      <c r="K13" s="480"/>
      <c r="L13" s="482"/>
      <c r="M13" s="491" t="s">
        <v>53</v>
      </c>
      <c r="N13" s="492"/>
      <c r="O13" s="486"/>
      <c r="Q13" s="34">
        <v>0.89500000000000002</v>
      </c>
      <c r="R13" s="40"/>
      <c r="AV13" s="66"/>
      <c r="AW13" s="66"/>
      <c r="AX13" s="66"/>
    </row>
    <row r="14" spans="1:50" ht="18" customHeight="1">
      <c r="B14" s="67" t="s">
        <v>55</v>
      </c>
      <c r="C14" s="495" t="s">
        <v>33</v>
      </c>
      <c r="D14" s="496"/>
      <c r="E14" s="497"/>
      <c r="F14" s="544">
        <f>'Data Record (pitch)'!AH22</f>
        <v>0</v>
      </c>
      <c r="G14" s="545"/>
      <c r="H14" s="500" t="s">
        <v>56</v>
      </c>
      <c r="I14" s="501"/>
      <c r="J14" s="500">
        <v>1</v>
      </c>
      <c r="K14" s="501"/>
      <c r="L14" s="67">
        <v>1</v>
      </c>
      <c r="M14" s="502">
        <f>F14/J14</f>
        <v>0</v>
      </c>
      <c r="N14" s="503"/>
      <c r="O14" s="68">
        <v>2</v>
      </c>
      <c r="AO14" s="69"/>
      <c r="AV14" s="66"/>
      <c r="AW14" s="66"/>
      <c r="AX14" s="66"/>
    </row>
    <row r="15" spans="1:50" ht="18" customHeight="1">
      <c r="B15" s="70" t="s">
        <v>57</v>
      </c>
      <c r="C15" s="495" t="s">
        <v>58</v>
      </c>
      <c r="D15" s="496"/>
      <c r="E15" s="497"/>
      <c r="F15" s="542">
        <f>'Cert of STD'!J10</f>
        <v>0.7</v>
      </c>
      <c r="G15" s="543"/>
      <c r="H15" s="500" t="s">
        <v>56</v>
      </c>
      <c r="I15" s="501"/>
      <c r="J15" s="500">
        <v>2</v>
      </c>
      <c r="K15" s="501"/>
      <c r="L15" s="67">
        <v>1</v>
      </c>
      <c r="M15" s="502">
        <f>F15/2</f>
        <v>0.35</v>
      </c>
      <c r="N15" s="503"/>
      <c r="O15" s="71"/>
      <c r="AO15" s="69"/>
      <c r="AV15" s="66"/>
      <c r="AW15" s="66"/>
      <c r="AX15" s="66"/>
    </row>
    <row r="16" spans="1:50" ht="18" customHeight="1">
      <c r="A16" s="66"/>
      <c r="B16" s="70" t="s">
        <v>59</v>
      </c>
      <c r="C16" s="495" t="s">
        <v>60</v>
      </c>
      <c r="D16" s="496"/>
      <c r="E16" s="497"/>
      <c r="F16" s="542">
        <f>'Cert of STD'!D11</f>
        <v>0.21</v>
      </c>
      <c r="G16" s="543"/>
      <c r="H16" s="500" t="s">
        <v>56</v>
      </c>
      <c r="I16" s="501"/>
      <c r="J16" s="500">
        <v>2</v>
      </c>
      <c r="K16" s="501"/>
      <c r="L16" s="67">
        <v>1</v>
      </c>
      <c r="M16" s="502">
        <f>F16/J16</f>
        <v>0.105</v>
      </c>
      <c r="N16" s="503"/>
      <c r="O16" s="71"/>
      <c r="AO16" s="69"/>
      <c r="AV16" s="66"/>
      <c r="AW16" s="66"/>
      <c r="AX16" s="66"/>
    </row>
    <row r="17" spans="1:50" ht="18" customHeight="1">
      <c r="A17" s="66"/>
      <c r="B17" s="70" t="s">
        <v>61</v>
      </c>
      <c r="C17" s="495" t="s">
        <v>62</v>
      </c>
      <c r="D17" s="496"/>
      <c r="E17" s="497"/>
      <c r="F17" s="507">
        <f>('Data Record (pitch)'!AP6*1000)*2</f>
        <v>0</v>
      </c>
      <c r="G17" s="508"/>
      <c r="H17" s="500" t="s">
        <v>63</v>
      </c>
      <c r="I17" s="501"/>
      <c r="J17" s="509" t="s">
        <v>64</v>
      </c>
      <c r="K17" s="510"/>
      <c r="L17" s="67">
        <v>1</v>
      </c>
      <c r="M17" s="511">
        <f>F17/SQRT(3)</f>
        <v>0</v>
      </c>
      <c r="N17" s="512"/>
      <c r="O17" s="71"/>
      <c r="AO17" s="69"/>
      <c r="AV17" s="66"/>
      <c r="AW17" s="66"/>
      <c r="AX17" s="66"/>
    </row>
    <row r="18" spans="1:50" s="66" customFormat="1" ht="18" customHeight="1">
      <c r="B18" s="70" t="s">
        <v>65</v>
      </c>
      <c r="C18" s="495" t="s">
        <v>66</v>
      </c>
      <c r="D18" s="496"/>
      <c r="E18" s="497"/>
      <c r="F18" s="546">
        <f>(1/16)*'Data Record (pitch)'!D17</f>
        <v>1</v>
      </c>
      <c r="G18" s="547"/>
      <c r="H18" s="500" t="s">
        <v>63</v>
      </c>
      <c r="I18" s="501"/>
      <c r="J18" s="509" t="s">
        <v>64</v>
      </c>
      <c r="K18" s="510"/>
      <c r="L18" s="67">
        <v>1</v>
      </c>
      <c r="M18" s="502">
        <f>F18/SQRT(3)</f>
        <v>0.57735026918962584</v>
      </c>
      <c r="N18" s="503"/>
      <c r="O18" s="71"/>
      <c r="AO18" s="72"/>
    </row>
    <row r="19" spans="1:50" s="66" customFormat="1" ht="18" customHeight="1">
      <c r="B19" s="70" t="s">
        <v>67</v>
      </c>
      <c r="C19" s="495" t="s">
        <v>68</v>
      </c>
      <c r="D19" s="496"/>
      <c r="E19" s="497"/>
      <c r="F19" s="513">
        <v>0.01</v>
      </c>
      <c r="G19" s="514"/>
      <c r="H19" s="500" t="s">
        <v>63</v>
      </c>
      <c r="I19" s="501"/>
      <c r="J19" s="509" t="s">
        <v>69</v>
      </c>
      <c r="K19" s="510"/>
      <c r="L19" s="67">
        <v>1</v>
      </c>
      <c r="M19" s="502">
        <f>(F19/2)/SQRT(3)</f>
        <v>2.886751345948129E-3</v>
      </c>
      <c r="N19" s="503"/>
      <c r="O19" s="71"/>
      <c r="AO19" s="72"/>
    </row>
    <row r="20" spans="1:50" s="66" customFormat="1" ht="18" customHeight="1">
      <c r="B20" s="70" t="s">
        <v>70</v>
      </c>
      <c r="C20" s="495" t="s">
        <v>71</v>
      </c>
      <c r="D20" s="496"/>
      <c r="E20" s="497"/>
      <c r="F20" s="548">
        <v>1</v>
      </c>
      <c r="G20" s="549"/>
      <c r="H20" s="500" t="s">
        <v>63</v>
      </c>
      <c r="I20" s="501"/>
      <c r="J20" s="509" t="s">
        <v>64</v>
      </c>
      <c r="K20" s="510"/>
      <c r="L20" s="67">
        <v>1</v>
      </c>
      <c r="M20" s="502">
        <f>F20/SQRT(3)</f>
        <v>0.57735026918962584</v>
      </c>
      <c r="N20" s="503"/>
      <c r="O20" s="71"/>
      <c r="AO20" s="72"/>
    </row>
    <row r="21" spans="1:50" s="66" customFormat="1" ht="18" customHeight="1">
      <c r="B21" s="70" t="s">
        <v>72</v>
      </c>
      <c r="C21" s="495" t="s">
        <v>73</v>
      </c>
      <c r="D21" s="496"/>
      <c r="E21" s="497"/>
      <c r="F21" s="498">
        <f>(COS(('Data Record (pitch)'!G16/2)*PI()/180)/(SIN(('Data Record (pitch)'!G16/2)*PI()/180))^2)*(('Data Record (pitch)'!X16/1000)-('Data Record (pitch)'!X17/1000))</f>
        <v>3.0765371804359703E-3</v>
      </c>
      <c r="G21" s="499"/>
      <c r="H21" s="500" t="s">
        <v>63</v>
      </c>
      <c r="I21" s="501"/>
      <c r="J21" s="509" t="s">
        <v>64</v>
      </c>
      <c r="K21" s="510"/>
      <c r="L21" s="67">
        <v>1</v>
      </c>
      <c r="M21" s="511">
        <f>F21*((2*3.14)/360)*(15/60)*(1/SQRT(3))*1000</f>
        <v>7.7463781216546186E-3</v>
      </c>
      <c r="N21" s="512"/>
      <c r="O21" s="71"/>
      <c r="AO21" s="72"/>
      <c r="AV21" s="51"/>
      <c r="AW21" s="51"/>
      <c r="AX21" s="51"/>
    </row>
    <row r="22" spans="1:50" s="66" customFormat="1" ht="18" customHeight="1">
      <c r="B22" s="70" t="s">
        <v>74</v>
      </c>
      <c r="C22" s="495" t="s">
        <v>75</v>
      </c>
      <c r="D22" s="496"/>
      <c r="E22" s="497"/>
      <c r="F22" s="550">
        <v>0.2</v>
      </c>
      <c r="G22" s="551"/>
      <c r="H22" s="500" t="s">
        <v>63</v>
      </c>
      <c r="I22" s="501"/>
      <c r="J22" s="509" t="s">
        <v>64</v>
      </c>
      <c r="K22" s="510"/>
      <c r="L22" s="67">
        <v>1</v>
      </c>
      <c r="M22" s="519">
        <f>F22/SQRT(3)</f>
        <v>0.11547005383792516</v>
      </c>
      <c r="N22" s="520"/>
      <c r="O22" s="71"/>
      <c r="AO22" s="72"/>
      <c r="AV22" s="51"/>
      <c r="AW22" s="51"/>
      <c r="AX22" s="51"/>
    </row>
    <row r="23" spans="1:50" s="66" customFormat="1" ht="18" customHeight="1">
      <c r="B23" s="70" t="s">
        <v>76</v>
      </c>
      <c r="C23" s="495" t="s">
        <v>77</v>
      </c>
      <c r="D23" s="496"/>
      <c r="E23" s="497"/>
      <c r="F23" s="498">
        <f>(('Data Record (pitch)'!K15)*(11.5*10^-6)*1)</f>
        <v>9.2E-6</v>
      </c>
      <c r="G23" s="499"/>
      <c r="H23" s="500" t="s">
        <v>63</v>
      </c>
      <c r="I23" s="501"/>
      <c r="J23" s="509" t="s">
        <v>64</v>
      </c>
      <c r="K23" s="510"/>
      <c r="L23" s="67">
        <v>1</v>
      </c>
      <c r="M23" s="515">
        <f>F23/SQRT(3)</f>
        <v>5.3116224765445574E-6</v>
      </c>
      <c r="N23" s="516"/>
      <c r="O23" s="71"/>
      <c r="AO23" s="72"/>
      <c r="AV23" s="51"/>
      <c r="AW23" s="51"/>
      <c r="AX23" s="51"/>
    </row>
    <row r="24" spans="1:50" s="66" customFormat="1" ht="18" customHeight="1">
      <c r="B24" s="70" t="s">
        <v>78</v>
      </c>
      <c r="C24" s="495" t="s">
        <v>79</v>
      </c>
      <c r="D24" s="496"/>
      <c r="E24" s="497"/>
      <c r="F24" s="500"/>
      <c r="G24" s="501"/>
      <c r="H24" s="500" t="s">
        <v>56</v>
      </c>
      <c r="I24" s="501"/>
      <c r="J24" s="521"/>
      <c r="K24" s="522"/>
      <c r="L24" s="73"/>
      <c r="M24" s="511">
        <f>SQRT(M14^2+M15^2+M16^2+M17^2+M18^2+M19^2+M20^2+M21^2+M22^2+M23^2)</f>
        <v>0.90199409074314363</v>
      </c>
      <c r="N24" s="512"/>
      <c r="O24" s="71">
        <f>(M24^4)/(((IF(M14&lt;=0,0.001,M14)^4)/9))</f>
        <v>5957407102158.4199</v>
      </c>
      <c r="AO24" s="72"/>
      <c r="AV24" s="51"/>
      <c r="AW24" s="51"/>
      <c r="AX24" s="51"/>
    </row>
    <row r="25" spans="1:50" s="66" customFormat="1" ht="18" customHeight="1">
      <c r="B25" s="70" t="s">
        <v>80</v>
      </c>
      <c r="C25" s="495" t="s">
        <v>81</v>
      </c>
      <c r="D25" s="496"/>
      <c r="E25" s="497"/>
      <c r="F25" s="500"/>
      <c r="G25" s="501"/>
      <c r="H25" s="500" t="s">
        <v>82</v>
      </c>
      <c r="I25" s="501"/>
      <c r="J25" s="521"/>
      <c r="K25" s="522"/>
      <c r="L25" s="73"/>
      <c r="M25" s="552">
        <f>M24*O25</f>
        <v>1.8039881814862873</v>
      </c>
      <c r="N25" s="553"/>
      <c r="O25" s="74" t="str">
        <f>IF(O24&gt;0,"2.00",TINV(0.0455,O24))</f>
        <v>2.00</v>
      </c>
      <c r="AO25" s="72"/>
      <c r="AV25" s="51"/>
      <c r="AW25" s="51"/>
      <c r="AX25" s="51"/>
    </row>
    <row r="26" spans="1:50" s="66" customFormat="1" ht="18" hidden="1" customHeight="1">
      <c r="B26" s="75">
        <v>25</v>
      </c>
      <c r="C26" s="76">
        <v>0</v>
      </c>
      <c r="D26" s="77">
        <f t="shared" ref="D26:D41" si="0">C26/1</f>
        <v>0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>
        <f>'Cert of STD'!J19</f>
        <v>1.2</v>
      </c>
      <c r="Q26" s="79">
        <f t="shared" ref="Q26:Q41" si="1">P26/2</f>
        <v>0.6</v>
      </c>
      <c r="R26" s="78">
        <f>'Cert of STD'!D15</f>
        <v>0.27</v>
      </c>
      <c r="S26" s="79">
        <f t="shared" ref="S26:S41" si="2">R26/2</f>
        <v>0.13500000000000001</v>
      </c>
      <c r="T26" s="80">
        <f t="shared" ref="T26" si="3">Y54*2</f>
        <v>0</v>
      </c>
      <c r="U26" s="81">
        <f t="shared" ref="U26:U41" si="4">T26/SQRT(3)</f>
        <v>0</v>
      </c>
      <c r="V26" s="82">
        <f>(1/16)*'Data Record (pitch)'!D24</f>
        <v>0</v>
      </c>
      <c r="W26" s="81">
        <f t="shared" ref="W26:Y41" si="5">(V26/SQRT(3))</f>
        <v>0</v>
      </c>
      <c r="X26" s="76" t="e">
        <f>#REF!</f>
        <v>#REF!</v>
      </c>
      <c r="Y26" s="81" t="e">
        <f t="shared" si="5"/>
        <v>#REF!</v>
      </c>
      <c r="Z26" s="81">
        <v>1</v>
      </c>
      <c r="AA26" s="83">
        <f t="shared" ref="AA26:AA41" si="6">Z26/SQRT(3)</f>
        <v>0.57735026918962584</v>
      </c>
      <c r="AB26" s="77" t="e">
        <f>#REF!</f>
        <v>#REF!</v>
      </c>
      <c r="AC26" s="84" t="e">
        <f t="shared" ref="AC26:AC41" si="7">AB26*((2*3.14)/360)*(15/60)*(1/SQRT(3))*10^6</f>
        <v>#REF!</v>
      </c>
      <c r="AD26" s="83" t="e">
        <f>#REF!</f>
        <v>#REF!</v>
      </c>
      <c r="AE26" s="83" t="e">
        <f t="shared" ref="AE26:AE41" si="8">AD26/SQRT(3)</f>
        <v>#REF!</v>
      </c>
      <c r="AF26" s="85">
        <f>((0.7)*(11.5*10^-6)*1)</f>
        <v>8.0499999999999992E-6</v>
      </c>
      <c r="AG26" s="77">
        <f t="shared" ref="AG26:AG41" si="9">AF26/SQRT(3)</f>
        <v>4.647669666976487E-6</v>
      </c>
      <c r="AH26" s="77" t="e">
        <f t="shared" ref="AH26:AH41" si="10">SQRT(D26^2+Q26^2+S26^2+U26^2+W26^2+Y26^2+AA26^2+AC26^2+AE26^2+AG26^2)</f>
        <v>#REF!</v>
      </c>
      <c r="AI26" s="86">
        <f t="shared" ref="AI26:AI41" si="11">D26/1</f>
        <v>0</v>
      </c>
      <c r="AJ26" s="71" t="e">
        <f t="shared" ref="AJ26:AJ41" si="12">(AH26^4)/(((IF(AI26&lt;=0,0.001,AI26)^4)/9))</f>
        <v>#REF!</v>
      </c>
      <c r="AK26" s="74" t="e">
        <f t="shared" ref="AK26:AK41" si="13">IF(AJ26&gt;0,"2.00",TINV(0.0455,AJ26))</f>
        <v>#REF!</v>
      </c>
      <c r="AL26" s="87" t="e">
        <f t="shared" ref="AL26:AL41" si="14">AH26*2</f>
        <v>#REF!</v>
      </c>
      <c r="AO26" s="72"/>
      <c r="AV26" s="51"/>
      <c r="AW26" s="51"/>
      <c r="AX26" s="51"/>
    </row>
    <row r="27" spans="1:50" s="66" customFormat="1" ht="18" hidden="1" customHeight="1">
      <c r="B27" s="75">
        <v>30</v>
      </c>
      <c r="C27" s="76">
        <v>0</v>
      </c>
      <c r="D27" s="77">
        <f t="shared" si="0"/>
        <v>0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8">
        <f>'Cert of STD'!J21</f>
        <v>1.4</v>
      </c>
      <c r="Q27" s="79">
        <f t="shared" si="1"/>
        <v>0.7</v>
      </c>
      <c r="R27" s="78">
        <f>'Cert of STD'!D15</f>
        <v>0.27</v>
      </c>
      <c r="S27" s="79">
        <f t="shared" si="2"/>
        <v>0.13500000000000001</v>
      </c>
      <c r="T27" s="80" t="e">
        <f>#REF!*2</f>
        <v>#REF!</v>
      </c>
      <c r="U27" s="81" t="e">
        <f t="shared" si="4"/>
        <v>#REF!</v>
      </c>
      <c r="V27" s="82">
        <f>(1/16)*'Data Record (pitch)'!D25</f>
        <v>0</v>
      </c>
      <c r="W27" s="81">
        <f t="shared" si="5"/>
        <v>0</v>
      </c>
      <c r="X27" s="76" t="e">
        <f t="shared" ref="X27:X31" si="15">X26</f>
        <v>#REF!</v>
      </c>
      <c r="Y27" s="81" t="e">
        <f t="shared" si="5"/>
        <v>#REF!</v>
      </c>
      <c r="Z27" s="81">
        <v>1</v>
      </c>
      <c r="AA27" s="83">
        <f t="shared" si="6"/>
        <v>0.57735026918962584</v>
      </c>
      <c r="AB27" s="77" t="e">
        <f t="shared" ref="AB27:AB31" si="16">AB26</f>
        <v>#REF!</v>
      </c>
      <c r="AC27" s="84" t="e">
        <f t="shared" si="7"/>
        <v>#REF!</v>
      </c>
      <c r="AD27" s="83" t="e">
        <f t="shared" ref="AD27:AD30" si="17">AD26</f>
        <v>#REF!</v>
      </c>
      <c r="AE27" s="83" t="e">
        <f t="shared" si="8"/>
        <v>#REF!</v>
      </c>
      <c r="AF27" s="85">
        <f>((0.75)*(11.5*10^-6)*1)</f>
        <v>8.6249999999999996E-6</v>
      </c>
      <c r="AG27" s="77">
        <f t="shared" si="9"/>
        <v>4.9796460717605226E-6</v>
      </c>
      <c r="AH27" s="77" t="e">
        <f t="shared" si="10"/>
        <v>#REF!</v>
      </c>
      <c r="AI27" s="86">
        <f t="shared" si="11"/>
        <v>0</v>
      </c>
      <c r="AJ27" s="71" t="e">
        <f t="shared" si="12"/>
        <v>#REF!</v>
      </c>
      <c r="AK27" s="74" t="e">
        <f t="shared" si="13"/>
        <v>#REF!</v>
      </c>
      <c r="AL27" s="87" t="e">
        <f t="shared" si="14"/>
        <v>#REF!</v>
      </c>
      <c r="AO27" s="72"/>
      <c r="AV27" s="51"/>
      <c r="AW27" s="51"/>
      <c r="AX27" s="51"/>
    </row>
    <row r="28" spans="1:50" s="66" customFormat="1" ht="18" hidden="1" customHeight="1">
      <c r="B28" s="75">
        <v>75</v>
      </c>
      <c r="C28" s="76">
        <v>0</v>
      </c>
      <c r="D28" s="77">
        <f t="shared" si="0"/>
        <v>0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8">
        <f>'Cert of STD'!J22</f>
        <v>2.8</v>
      </c>
      <c r="Q28" s="79">
        <f t="shared" si="1"/>
        <v>1.4</v>
      </c>
      <c r="R28" s="78">
        <f>'Cert of STD'!D20</f>
        <v>0.39</v>
      </c>
      <c r="S28" s="79">
        <f t="shared" si="2"/>
        <v>0.19500000000000001</v>
      </c>
      <c r="T28" s="80" t="e">
        <f>#REF!*2</f>
        <v>#REF!</v>
      </c>
      <c r="U28" s="81" t="e">
        <f t="shared" si="4"/>
        <v>#REF!</v>
      </c>
      <c r="V28" s="82">
        <f>(1/16)*'Data Record (pitch)'!D26</f>
        <v>0</v>
      </c>
      <c r="W28" s="81">
        <f t="shared" si="5"/>
        <v>0</v>
      </c>
      <c r="X28" s="76" t="e">
        <f t="shared" si="15"/>
        <v>#REF!</v>
      </c>
      <c r="Y28" s="81" t="e">
        <f t="shared" si="5"/>
        <v>#REF!</v>
      </c>
      <c r="Z28" s="81">
        <v>1</v>
      </c>
      <c r="AA28" s="83">
        <f t="shared" si="6"/>
        <v>0.57735026918962584</v>
      </c>
      <c r="AB28" s="77" t="e">
        <f t="shared" si="16"/>
        <v>#REF!</v>
      </c>
      <c r="AC28" s="84" t="e">
        <f t="shared" si="7"/>
        <v>#REF!</v>
      </c>
      <c r="AD28" s="83" t="e">
        <f t="shared" si="17"/>
        <v>#REF!</v>
      </c>
      <c r="AE28" s="83" t="e">
        <f t="shared" si="8"/>
        <v>#REF!</v>
      </c>
      <c r="AF28" s="85">
        <f>((0.8)*(11.5*10^-6)*1)</f>
        <v>9.2E-6</v>
      </c>
      <c r="AG28" s="77">
        <f t="shared" si="9"/>
        <v>5.3116224765445574E-6</v>
      </c>
      <c r="AH28" s="77" t="e">
        <f t="shared" si="10"/>
        <v>#REF!</v>
      </c>
      <c r="AI28" s="86">
        <f t="shared" si="11"/>
        <v>0</v>
      </c>
      <c r="AJ28" s="71" t="e">
        <f t="shared" si="12"/>
        <v>#REF!</v>
      </c>
      <c r="AK28" s="74" t="e">
        <f t="shared" si="13"/>
        <v>#REF!</v>
      </c>
      <c r="AL28" s="87" t="e">
        <f t="shared" si="14"/>
        <v>#REF!</v>
      </c>
      <c r="AO28" s="72"/>
      <c r="AV28" s="51"/>
      <c r="AW28" s="51"/>
      <c r="AX28" s="51"/>
    </row>
    <row r="29" spans="1:50" s="66" customFormat="1" ht="18" hidden="1" customHeight="1">
      <c r="B29" s="75">
        <v>90</v>
      </c>
      <c r="C29" s="76">
        <v>0</v>
      </c>
      <c r="D29" s="77">
        <f t="shared" si="0"/>
        <v>0</v>
      </c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8">
        <f t="shared" ref="P29:P31" si="18">P28</f>
        <v>2.8</v>
      </c>
      <c r="Q29" s="79">
        <f t="shared" si="1"/>
        <v>1.4</v>
      </c>
      <c r="R29" s="78">
        <f>'Cert of STD'!D21</f>
        <v>0.39</v>
      </c>
      <c r="S29" s="79">
        <f t="shared" si="2"/>
        <v>0.19500000000000001</v>
      </c>
      <c r="T29" s="80" t="e">
        <f>#REF!*2</f>
        <v>#REF!</v>
      </c>
      <c r="U29" s="81" t="e">
        <f t="shared" si="4"/>
        <v>#REF!</v>
      </c>
      <c r="V29" s="82">
        <f>(1/16)*'Data Record (pitch)'!D27</f>
        <v>0</v>
      </c>
      <c r="W29" s="81">
        <f t="shared" si="5"/>
        <v>0</v>
      </c>
      <c r="X29" s="76" t="e">
        <f t="shared" si="15"/>
        <v>#REF!</v>
      </c>
      <c r="Y29" s="81" t="e">
        <f t="shared" si="5"/>
        <v>#REF!</v>
      </c>
      <c r="Z29" s="81">
        <v>1</v>
      </c>
      <c r="AA29" s="83">
        <f t="shared" si="6"/>
        <v>0.57735026918962584</v>
      </c>
      <c r="AB29" s="77" t="e">
        <f t="shared" si="16"/>
        <v>#REF!</v>
      </c>
      <c r="AC29" s="84" t="e">
        <f t="shared" si="7"/>
        <v>#REF!</v>
      </c>
      <c r="AD29" s="83" t="e">
        <f t="shared" si="17"/>
        <v>#REF!</v>
      </c>
      <c r="AE29" s="83" t="e">
        <f t="shared" si="8"/>
        <v>#REF!</v>
      </c>
      <c r="AF29" s="85">
        <f>((1)*(11.5*10^-6)*1)</f>
        <v>1.15E-5</v>
      </c>
      <c r="AG29" s="77">
        <f t="shared" si="9"/>
        <v>6.6395280956806965E-6</v>
      </c>
      <c r="AH29" s="77" t="e">
        <f t="shared" si="10"/>
        <v>#REF!</v>
      </c>
      <c r="AI29" s="86">
        <f t="shared" si="11"/>
        <v>0</v>
      </c>
      <c r="AJ29" s="71" t="e">
        <f t="shared" si="12"/>
        <v>#REF!</v>
      </c>
      <c r="AK29" s="74" t="e">
        <f t="shared" si="13"/>
        <v>#REF!</v>
      </c>
      <c r="AL29" s="87" t="e">
        <f t="shared" si="14"/>
        <v>#REF!</v>
      </c>
      <c r="AV29" s="51"/>
      <c r="AW29" s="51"/>
      <c r="AX29" s="51"/>
    </row>
    <row r="30" spans="1:50" s="66" customFormat="1" ht="18" hidden="1" customHeight="1">
      <c r="B30" s="75">
        <v>100</v>
      </c>
      <c r="C30" s="76">
        <v>0</v>
      </c>
      <c r="D30" s="77">
        <f t="shared" si="0"/>
        <v>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>
        <f t="shared" si="18"/>
        <v>2.8</v>
      </c>
      <c r="Q30" s="79">
        <f t="shared" si="1"/>
        <v>1.4</v>
      </c>
      <c r="R30" s="78">
        <f>'Cert of STD'!D22</f>
        <v>0.39</v>
      </c>
      <c r="S30" s="79">
        <f t="shared" si="2"/>
        <v>0.19500000000000001</v>
      </c>
      <c r="T30" s="80" t="e">
        <f>#REF!*2</f>
        <v>#REF!</v>
      </c>
      <c r="U30" s="81" t="e">
        <f t="shared" si="4"/>
        <v>#REF!</v>
      </c>
      <c r="V30" s="82">
        <f>(1/16)*'Data Record (pitch)'!D28</f>
        <v>0</v>
      </c>
      <c r="W30" s="81">
        <f t="shared" si="5"/>
        <v>0</v>
      </c>
      <c r="X30" s="76" t="e">
        <f t="shared" si="15"/>
        <v>#REF!</v>
      </c>
      <c r="Y30" s="81" t="e">
        <f t="shared" si="5"/>
        <v>#REF!</v>
      </c>
      <c r="Z30" s="81">
        <v>1</v>
      </c>
      <c r="AA30" s="83">
        <f t="shared" si="6"/>
        <v>0.57735026918962584</v>
      </c>
      <c r="AB30" s="77" t="e">
        <f t="shared" si="16"/>
        <v>#REF!</v>
      </c>
      <c r="AC30" s="84" t="e">
        <f t="shared" si="7"/>
        <v>#REF!</v>
      </c>
      <c r="AD30" s="83" t="e">
        <f t="shared" si="17"/>
        <v>#REF!</v>
      </c>
      <c r="AE30" s="83" t="e">
        <f t="shared" si="8"/>
        <v>#REF!</v>
      </c>
      <c r="AF30" s="85">
        <f>((1.25)*(11.5*10^-6)*1)</f>
        <v>1.4375E-5</v>
      </c>
      <c r="AG30" s="77">
        <f t="shared" si="9"/>
        <v>8.2994101196008704E-6</v>
      </c>
      <c r="AH30" s="77" t="e">
        <f t="shared" si="10"/>
        <v>#REF!</v>
      </c>
      <c r="AI30" s="86">
        <f t="shared" si="11"/>
        <v>0</v>
      </c>
      <c r="AJ30" s="71" t="e">
        <f t="shared" si="12"/>
        <v>#REF!</v>
      </c>
      <c r="AK30" s="74" t="e">
        <f t="shared" si="13"/>
        <v>#REF!</v>
      </c>
      <c r="AL30" s="87" t="e">
        <f t="shared" si="14"/>
        <v>#REF!</v>
      </c>
      <c r="AV30" s="51"/>
      <c r="AW30" s="51"/>
      <c r="AX30" s="51"/>
    </row>
    <row r="31" spans="1:50" s="66" customFormat="1" ht="18" hidden="1" customHeight="1">
      <c r="A31" s="51"/>
      <c r="B31" s="75">
        <v>125</v>
      </c>
      <c r="C31" s="76">
        <v>0</v>
      </c>
      <c r="D31" s="77">
        <f t="shared" si="0"/>
        <v>0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>
        <f t="shared" si="18"/>
        <v>2.8</v>
      </c>
      <c r="Q31" s="79">
        <f t="shared" si="1"/>
        <v>1.4</v>
      </c>
      <c r="R31" s="78">
        <f>'Cert of STD'!D22</f>
        <v>0.39</v>
      </c>
      <c r="S31" s="79">
        <f t="shared" si="2"/>
        <v>0.19500000000000001</v>
      </c>
      <c r="T31" s="80" t="e">
        <f>#REF!*2</f>
        <v>#REF!</v>
      </c>
      <c r="U31" s="81" t="e">
        <f t="shared" si="4"/>
        <v>#REF!</v>
      </c>
      <c r="V31" s="82">
        <f>(1/16)*'Data Record (pitch)'!D29</f>
        <v>0</v>
      </c>
      <c r="W31" s="81">
        <f t="shared" si="5"/>
        <v>0</v>
      </c>
      <c r="X31" s="76" t="e">
        <f t="shared" si="15"/>
        <v>#REF!</v>
      </c>
      <c r="Y31" s="81" t="e">
        <f t="shared" si="5"/>
        <v>#REF!</v>
      </c>
      <c r="Z31" s="81">
        <v>1</v>
      </c>
      <c r="AA31" s="83">
        <f t="shared" si="6"/>
        <v>0.57735026918962584</v>
      </c>
      <c r="AB31" s="77" t="e">
        <f t="shared" si="16"/>
        <v>#REF!</v>
      </c>
      <c r="AC31" s="84" t="e">
        <f t="shared" si="7"/>
        <v>#REF!</v>
      </c>
      <c r="AD31" s="83" t="e">
        <f>AD30</f>
        <v>#REF!</v>
      </c>
      <c r="AE31" s="83" t="e">
        <f t="shared" si="8"/>
        <v>#REF!</v>
      </c>
      <c r="AF31" s="85">
        <f>(('Data Record (pitch)'!K27)*(11.5*10^-6)*1)</f>
        <v>1.7249999999999999E-4</v>
      </c>
      <c r="AG31" s="77">
        <f t="shared" si="9"/>
        <v>9.9592921435210445E-5</v>
      </c>
      <c r="AH31" s="77" t="e">
        <f t="shared" si="10"/>
        <v>#REF!</v>
      </c>
      <c r="AI31" s="86">
        <f t="shared" si="11"/>
        <v>0</v>
      </c>
      <c r="AJ31" s="71" t="e">
        <f t="shared" si="12"/>
        <v>#REF!</v>
      </c>
      <c r="AK31" s="74" t="e">
        <f t="shared" si="13"/>
        <v>#REF!</v>
      </c>
      <c r="AL31" s="87" t="e">
        <f t="shared" si="14"/>
        <v>#REF!</v>
      </c>
      <c r="AV31" s="51"/>
      <c r="AW31" s="51"/>
      <c r="AX31" s="51"/>
    </row>
    <row r="32" spans="1:50" s="66" customFormat="1" ht="18" hidden="1" customHeight="1">
      <c r="A32" s="51"/>
      <c r="B32" s="75">
        <v>150</v>
      </c>
      <c r="C32" s="76">
        <v>0</v>
      </c>
      <c r="D32" s="77">
        <f t="shared" si="0"/>
        <v>0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8">
        <f>P31</f>
        <v>2.8</v>
      </c>
      <c r="Q32" s="79">
        <f t="shared" si="1"/>
        <v>1.4</v>
      </c>
      <c r="R32" s="78">
        <f>'Cert of STD'!D22</f>
        <v>0.39</v>
      </c>
      <c r="S32" s="79">
        <f t="shared" si="2"/>
        <v>0.19500000000000001</v>
      </c>
      <c r="T32" s="80" t="e">
        <f>#REF!*2</f>
        <v>#REF!</v>
      </c>
      <c r="U32" s="81" t="e">
        <f t="shared" si="4"/>
        <v>#REF!</v>
      </c>
      <c r="V32" s="82">
        <f>(1/16)*'Data Record (pitch)'!D30</f>
        <v>0</v>
      </c>
      <c r="W32" s="81">
        <f t="shared" si="5"/>
        <v>0</v>
      </c>
      <c r="X32" s="76" t="e">
        <f>X31</f>
        <v>#REF!</v>
      </c>
      <c r="Y32" s="81" t="e">
        <f t="shared" si="5"/>
        <v>#REF!</v>
      </c>
      <c r="Z32" s="81">
        <v>1</v>
      </c>
      <c r="AA32" s="83">
        <f t="shared" si="6"/>
        <v>0.57735026918962584</v>
      </c>
      <c r="AB32" s="77" t="e">
        <f>AB31</f>
        <v>#REF!</v>
      </c>
      <c r="AC32" s="84" t="e">
        <f t="shared" si="7"/>
        <v>#REF!</v>
      </c>
      <c r="AD32" s="83" t="e">
        <f>AD31</f>
        <v>#REF!</v>
      </c>
      <c r="AE32" s="83" t="e">
        <f t="shared" si="8"/>
        <v>#REF!</v>
      </c>
      <c r="AF32" s="85">
        <f>(('Data Record (pitch)'!K28)*(11.5*10^-6)*1)</f>
        <v>0</v>
      </c>
      <c r="AG32" s="77">
        <f t="shared" si="9"/>
        <v>0</v>
      </c>
      <c r="AH32" s="77" t="e">
        <f t="shared" si="10"/>
        <v>#REF!</v>
      </c>
      <c r="AI32" s="86">
        <f t="shared" si="11"/>
        <v>0</v>
      </c>
      <c r="AJ32" s="71" t="e">
        <f t="shared" si="12"/>
        <v>#REF!</v>
      </c>
      <c r="AK32" s="74" t="e">
        <f t="shared" si="13"/>
        <v>#REF!</v>
      </c>
      <c r="AL32" s="87" t="e">
        <f t="shared" si="14"/>
        <v>#REF!</v>
      </c>
      <c r="AV32" s="51"/>
      <c r="AW32" s="51"/>
      <c r="AX32" s="51"/>
    </row>
    <row r="33" spans="1:50" s="66" customFormat="1" ht="18" hidden="1" customHeight="1">
      <c r="A33" s="51"/>
      <c r="B33" s="75">
        <v>150</v>
      </c>
      <c r="C33" s="76">
        <v>0</v>
      </c>
      <c r="D33" s="77">
        <f t="shared" si="0"/>
        <v>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8">
        <f t="shared" ref="P33:P37" si="19">P32</f>
        <v>2.8</v>
      </c>
      <c r="Q33" s="79">
        <f t="shared" si="1"/>
        <v>1.4</v>
      </c>
      <c r="R33" s="78">
        <f>'Cert of STD'!D23</f>
        <v>0</v>
      </c>
      <c r="S33" s="79">
        <f t="shared" si="2"/>
        <v>0</v>
      </c>
      <c r="T33" s="80" t="e">
        <f>#REF!*2</f>
        <v>#REF!</v>
      </c>
      <c r="U33" s="81" t="e">
        <f t="shared" si="4"/>
        <v>#REF!</v>
      </c>
      <c r="V33" s="82">
        <f>(1/16)*'Data Record (pitch)'!D31</f>
        <v>0</v>
      </c>
      <c r="W33" s="81">
        <f t="shared" si="5"/>
        <v>0</v>
      </c>
      <c r="X33" s="76" t="e">
        <f t="shared" ref="X33:X37" si="20">X32</f>
        <v>#REF!</v>
      </c>
      <c r="Y33" s="81" t="e">
        <f t="shared" si="5"/>
        <v>#REF!</v>
      </c>
      <c r="Z33" s="81">
        <v>1</v>
      </c>
      <c r="AA33" s="83">
        <f t="shared" si="6"/>
        <v>0.57735026918962584</v>
      </c>
      <c r="AB33" s="77" t="e">
        <f t="shared" ref="AB33:AB37" si="21">AB32</f>
        <v>#REF!</v>
      </c>
      <c r="AC33" s="84" t="e">
        <f t="shared" si="7"/>
        <v>#REF!</v>
      </c>
      <c r="AD33" s="83" t="e">
        <f t="shared" ref="AD33:AD37" si="22">AD32</f>
        <v>#REF!</v>
      </c>
      <c r="AE33" s="83" t="e">
        <f t="shared" si="8"/>
        <v>#REF!</v>
      </c>
      <c r="AF33" s="85">
        <f>(('Data Record (pitch)'!K29)*(11.5*10^-6)*1)</f>
        <v>2.8750000000000001E-5</v>
      </c>
      <c r="AG33" s="77">
        <f t="shared" si="9"/>
        <v>1.6598820239201741E-5</v>
      </c>
      <c r="AH33" s="77" t="e">
        <f t="shared" si="10"/>
        <v>#REF!</v>
      </c>
      <c r="AI33" s="86">
        <f t="shared" si="11"/>
        <v>0</v>
      </c>
      <c r="AJ33" s="71" t="e">
        <f t="shared" si="12"/>
        <v>#REF!</v>
      </c>
      <c r="AK33" s="74" t="e">
        <f t="shared" si="13"/>
        <v>#REF!</v>
      </c>
      <c r="AL33" s="87" t="e">
        <f t="shared" si="14"/>
        <v>#REF!</v>
      </c>
      <c r="AM33" s="88"/>
      <c r="AN33" s="89"/>
      <c r="AV33" s="51"/>
      <c r="AW33" s="51"/>
      <c r="AX33" s="51"/>
    </row>
    <row r="34" spans="1:50" s="66" customFormat="1" ht="18" hidden="1" customHeight="1">
      <c r="A34" s="51"/>
      <c r="B34" s="75">
        <v>150</v>
      </c>
      <c r="C34" s="76">
        <v>0</v>
      </c>
      <c r="D34" s="77">
        <f t="shared" si="0"/>
        <v>0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8">
        <f t="shared" si="19"/>
        <v>2.8</v>
      </c>
      <c r="Q34" s="79">
        <f t="shared" si="1"/>
        <v>1.4</v>
      </c>
      <c r="R34" s="78">
        <f>'Cert of STD'!D24</f>
        <v>0</v>
      </c>
      <c r="S34" s="79">
        <f t="shared" si="2"/>
        <v>0</v>
      </c>
      <c r="T34" s="80" t="e">
        <f>#REF!*2</f>
        <v>#REF!</v>
      </c>
      <c r="U34" s="81" t="e">
        <f t="shared" si="4"/>
        <v>#REF!</v>
      </c>
      <c r="V34" s="82">
        <f>(1/16)*'Data Record (pitch)'!D32</f>
        <v>0</v>
      </c>
      <c r="W34" s="81">
        <f t="shared" si="5"/>
        <v>0</v>
      </c>
      <c r="X34" s="76" t="e">
        <f t="shared" si="20"/>
        <v>#REF!</v>
      </c>
      <c r="Y34" s="81" t="e">
        <f t="shared" si="5"/>
        <v>#REF!</v>
      </c>
      <c r="Z34" s="81">
        <v>1</v>
      </c>
      <c r="AA34" s="83">
        <f t="shared" si="6"/>
        <v>0.57735026918962584</v>
      </c>
      <c r="AB34" s="77" t="e">
        <f t="shared" si="21"/>
        <v>#REF!</v>
      </c>
      <c r="AC34" s="84" t="e">
        <f t="shared" si="7"/>
        <v>#REF!</v>
      </c>
      <c r="AD34" s="83" t="e">
        <f t="shared" si="22"/>
        <v>#REF!</v>
      </c>
      <c r="AE34" s="83" t="e">
        <f t="shared" si="8"/>
        <v>#REF!</v>
      </c>
      <c r="AF34" s="85">
        <f>(('Data Record (pitch)'!K30)*(11.5*10^-6)*1)</f>
        <v>0</v>
      </c>
      <c r="AG34" s="77">
        <f t="shared" si="9"/>
        <v>0</v>
      </c>
      <c r="AH34" s="77" t="e">
        <f t="shared" si="10"/>
        <v>#REF!</v>
      </c>
      <c r="AI34" s="86">
        <f t="shared" si="11"/>
        <v>0</v>
      </c>
      <c r="AJ34" s="71" t="e">
        <f t="shared" si="12"/>
        <v>#REF!</v>
      </c>
      <c r="AK34" s="74" t="e">
        <f t="shared" si="13"/>
        <v>#REF!</v>
      </c>
      <c r="AL34" s="87" t="e">
        <f t="shared" si="14"/>
        <v>#REF!</v>
      </c>
      <c r="AM34" s="7"/>
      <c r="AN34" s="7"/>
      <c r="AV34" s="51"/>
      <c r="AW34" s="51"/>
      <c r="AX34" s="51"/>
    </row>
    <row r="35" spans="1:50" s="13" customFormat="1" ht="18" hidden="1" customHeight="1">
      <c r="B35" s="75">
        <v>150</v>
      </c>
      <c r="C35" s="76">
        <v>0</v>
      </c>
      <c r="D35" s="77">
        <f t="shared" si="0"/>
        <v>0</v>
      </c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8">
        <f t="shared" si="19"/>
        <v>2.8</v>
      </c>
      <c r="Q35" s="79">
        <f t="shared" si="1"/>
        <v>1.4</v>
      </c>
      <c r="R35" s="78">
        <f>'Cert of STD'!D25</f>
        <v>0</v>
      </c>
      <c r="S35" s="79">
        <f t="shared" si="2"/>
        <v>0</v>
      </c>
      <c r="T35" s="80" t="e">
        <f>#REF!*2</f>
        <v>#REF!</v>
      </c>
      <c r="U35" s="81" t="e">
        <f t="shared" si="4"/>
        <v>#REF!</v>
      </c>
      <c r="V35" s="82">
        <f>(1/16)*'Data Record (pitch)'!D33</f>
        <v>0</v>
      </c>
      <c r="W35" s="81">
        <f t="shared" si="5"/>
        <v>0</v>
      </c>
      <c r="X35" s="76" t="e">
        <f t="shared" si="20"/>
        <v>#REF!</v>
      </c>
      <c r="Y35" s="81" t="e">
        <f t="shared" si="5"/>
        <v>#REF!</v>
      </c>
      <c r="Z35" s="81">
        <v>1</v>
      </c>
      <c r="AA35" s="83">
        <f t="shared" si="6"/>
        <v>0.57735026918962584</v>
      </c>
      <c r="AB35" s="77" t="e">
        <f t="shared" si="21"/>
        <v>#REF!</v>
      </c>
      <c r="AC35" s="84" t="e">
        <f t="shared" si="7"/>
        <v>#REF!</v>
      </c>
      <c r="AD35" s="83" t="e">
        <f t="shared" si="22"/>
        <v>#REF!</v>
      </c>
      <c r="AE35" s="83" t="e">
        <f t="shared" si="8"/>
        <v>#REF!</v>
      </c>
      <c r="AF35" s="85">
        <f>(('Data Record (pitch)'!K31)*(11.5*10^-6)*1)</f>
        <v>0</v>
      </c>
      <c r="AG35" s="77">
        <f t="shared" si="9"/>
        <v>0</v>
      </c>
      <c r="AH35" s="77" t="e">
        <f t="shared" si="10"/>
        <v>#REF!</v>
      </c>
      <c r="AI35" s="86">
        <f t="shared" si="11"/>
        <v>0</v>
      </c>
      <c r="AJ35" s="71" t="e">
        <f t="shared" si="12"/>
        <v>#REF!</v>
      </c>
      <c r="AK35" s="74" t="e">
        <f t="shared" si="13"/>
        <v>#REF!</v>
      </c>
      <c r="AL35" s="87" t="e">
        <f t="shared" si="14"/>
        <v>#REF!</v>
      </c>
      <c r="AM35" s="7"/>
      <c r="AN35" s="7"/>
    </row>
    <row r="36" spans="1:50" s="13" customFormat="1" ht="18" hidden="1" customHeight="1">
      <c r="B36" s="75">
        <v>150</v>
      </c>
      <c r="C36" s="76">
        <v>0</v>
      </c>
      <c r="D36" s="77">
        <f t="shared" si="0"/>
        <v>0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8">
        <f t="shared" si="19"/>
        <v>2.8</v>
      </c>
      <c r="Q36" s="79">
        <f t="shared" si="1"/>
        <v>1.4</v>
      </c>
      <c r="R36" s="78">
        <f>'Cert of STD'!D26</f>
        <v>0</v>
      </c>
      <c r="S36" s="79">
        <f t="shared" si="2"/>
        <v>0</v>
      </c>
      <c r="T36" s="80" t="e">
        <f>#REF!*2</f>
        <v>#REF!</v>
      </c>
      <c r="U36" s="81" t="e">
        <f t="shared" si="4"/>
        <v>#REF!</v>
      </c>
      <c r="V36" s="82">
        <f>(1/16)*'Data Record (pitch)'!D34</f>
        <v>0</v>
      </c>
      <c r="W36" s="81">
        <f t="shared" si="5"/>
        <v>0</v>
      </c>
      <c r="X36" s="76" t="e">
        <f t="shared" si="20"/>
        <v>#REF!</v>
      </c>
      <c r="Y36" s="81" t="e">
        <f t="shared" si="5"/>
        <v>#REF!</v>
      </c>
      <c r="Z36" s="81">
        <v>1</v>
      </c>
      <c r="AA36" s="83">
        <f t="shared" si="6"/>
        <v>0.57735026918962584</v>
      </c>
      <c r="AB36" s="77" t="e">
        <f t="shared" si="21"/>
        <v>#REF!</v>
      </c>
      <c r="AC36" s="84" t="e">
        <f t="shared" si="7"/>
        <v>#REF!</v>
      </c>
      <c r="AD36" s="83" t="e">
        <f t="shared" si="22"/>
        <v>#REF!</v>
      </c>
      <c r="AE36" s="83" t="e">
        <f t="shared" si="8"/>
        <v>#REF!</v>
      </c>
      <c r="AF36" s="85">
        <f>(('Data Record (pitch)'!K32)*(11.5*10^-6)*1)</f>
        <v>0</v>
      </c>
      <c r="AG36" s="77">
        <f t="shared" si="9"/>
        <v>0</v>
      </c>
      <c r="AH36" s="77" t="e">
        <f t="shared" si="10"/>
        <v>#REF!</v>
      </c>
      <c r="AI36" s="86">
        <f t="shared" si="11"/>
        <v>0</v>
      </c>
      <c r="AJ36" s="71" t="e">
        <f t="shared" si="12"/>
        <v>#REF!</v>
      </c>
      <c r="AK36" s="74" t="e">
        <f t="shared" si="13"/>
        <v>#REF!</v>
      </c>
      <c r="AL36" s="87" t="e">
        <f t="shared" si="14"/>
        <v>#REF!</v>
      </c>
      <c r="AM36" s="7"/>
      <c r="AN36" s="7"/>
    </row>
    <row r="37" spans="1:50" s="13" customFormat="1" ht="18" hidden="1" customHeight="1">
      <c r="B37" s="75">
        <v>150</v>
      </c>
      <c r="C37" s="76">
        <v>0</v>
      </c>
      <c r="D37" s="77">
        <f t="shared" si="0"/>
        <v>0</v>
      </c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8">
        <f t="shared" si="19"/>
        <v>2.8</v>
      </c>
      <c r="Q37" s="79">
        <f t="shared" si="1"/>
        <v>1.4</v>
      </c>
      <c r="R37" s="78">
        <f>'Cert of STD'!D27</f>
        <v>0</v>
      </c>
      <c r="S37" s="79">
        <f t="shared" si="2"/>
        <v>0</v>
      </c>
      <c r="T37" s="80" t="e">
        <f>#REF!*2</f>
        <v>#REF!</v>
      </c>
      <c r="U37" s="81" t="e">
        <f t="shared" si="4"/>
        <v>#REF!</v>
      </c>
      <c r="V37" s="82">
        <f>(1/16)*'Data Record (pitch)'!D35</f>
        <v>0</v>
      </c>
      <c r="W37" s="81">
        <f t="shared" si="5"/>
        <v>0</v>
      </c>
      <c r="X37" s="76" t="e">
        <f t="shared" si="20"/>
        <v>#REF!</v>
      </c>
      <c r="Y37" s="81" t="e">
        <f t="shared" si="5"/>
        <v>#REF!</v>
      </c>
      <c r="Z37" s="81">
        <v>1</v>
      </c>
      <c r="AA37" s="83">
        <f t="shared" si="6"/>
        <v>0.57735026918962584</v>
      </c>
      <c r="AB37" s="77" t="e">
        <f t="shared" si="21"/>
        <v>#REF!</v>
      </c>
      <c r="AC37" s="84" t="e">
        <f t="shared" si="7"/>
        <v>#REF!</v>
      </c>
      <c r="AD37" s="83" t="e">
        <f t="shared" si="22"/>
        <v>#REF!</v>
      </c>
      <c r="AE37" s="83" t="e">
        <f t="shared" si="8"/>
        <v>#REF!</v>
      </c>
      <c r="AF37" s="85">
        <f>(('Data Record (pitch)'!K33)*(11.5*10^-6)*1)</f>
        <v>0</v>
      </c>
      <c r="AG37" s="77">
        <f t="shared" si="9"/>
        <v>0</v>
      </c>
      <c r="AH37" s="77" t="e">
        <f t="shared" si="10"/>
        <v>#REF!</v>
      </c>
      <c r="AI37" s="86">
        <f t="shared" si="11"/>
        <v>0</v>
      </c>
      <c r="AJ37" s="71" t="e">
        <f t="shared" si="12"/>
        <v>#REF!</v>
      </c>
      <c r="AK37" s="74" t="e">
        <f t="shared" si="13"/>
        <v>#REF!</v>
      </c>
      <c r="AL37" s="87" t="e">
        <f t="shared" si="14"/>
        <v>#REF!</v>
      </c>
      <c r="AM37" s="7"/>
      <c r="AN37" s="7"/>
    </row>
    <row r="38" spans="1:50" s="13" customFormat="1" ht="18" hidden="1" customHeight="1">
      <c r="B38" s="75">
        <v>150</v>
      </c>
      <c r="C38" s="76">
        <v>0</v>
      </c>
      <c r="D38" s="77">
        <f t="shared" si="0"/>
        <v>0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8">
        <f>P37</f>
        <v>2.8</v>
      </c>
      <c r="Q38" s="79">
        <f t="shared" si="1"/>
        <v>1.4</v>
      </c>
      <c r="R38" s="78">
        <f>'Cert of STD'!D28</f>
        <v>0</v>
      </c>
      <c r="S38" s="79">
        <f t="shared" si="2"/>
        <v>0</v>
      </c>
      <c r="T38" s="80" t="e">
        <f>#REF!*2</f>
        <v>#REF!</v>
      </c>
      <c r="U38" s="81" t="e">
        <f t="shared" si="4"/>
        <v>#REF!</v>
      </c>
      <c r="V38" s="82">
        <f>(1/16)*'Data Record (pitch)'!D36</f>
        <v>0</v>
      </c>
      <c r="W38" s="81">
        <f t="shared" si="5"/>
        <v>0</v>
      </c>
      <c r="X38" s="76" t="e">
        <f>X37</f>
        <v>#REF!</v>
      </c>
      <c r="Y38" s="81" t="e">
        <f t="shared" si="5"/>
        <v>#REF!</v>
      </c>
      <c r="Z38" s="81">
        <v>1</v>
      </c>
      <c r="AA38" s="83">
        <f t="shared" si="6"/>
        <v>0.57735026918962584</v>
      </c>
      <c r="AB38" s="77" t="e">
        <f>AB37</f>
        <v>#REF!</v>
      </c>
      <c r="AC38" s="84" t="e">
        <f t="shared" si="7"/>
        <v>#REF!</v>
      </c>
      <c r="AD38" s="83" t="e">
        <f>AD37</f>
        <v>#REF!</v>
      </c>
      <c r="AE38" s="83" t="e">
        <f t="shared" si="8"/>
        <v>#REF!</v>
      </c>
      <c r="AF38" s="85">
        <f>(('Data Record (pitch)'!K34)*(11.5*10^-6)*1)</f>
        <v>0</v>
      </c>
      <c r="AG38" s="77">
        <f t="shared" si="9"/>
        <v>0</v>
      </c>
      <c r="AH38" s="77" t="e">
        <f t="shared" si="10"/>
        <v>#REF!</v>
      </c>
      <c r="AI38" s="86">
        <f t="shared" si="11"/>
        <v>0</v>
      </c>
      <c r="AJ38" s="71" t="e">
        <f t="shared" si="12"/>
        <v>#REF!</v>
      </c>
      <c r="AK38" s="74" t="e">
        <f t="shared" si="13"/>
        <v>#REF!</v>
      </c>
      <c r="AL38" s="87" t="e">
        <f t="shared" si="14"/>
        <v>#REF!</v>
      </c>
      <c r="AM38" s="7"/>
      <c r="AN38" s="7"/>
    </row>
    <row r="39" spans="1:50" s="13" customFormat="1" ht="18" hidden="1" customHeight="1">
      <c r="B39" s="75">
        <v>150</v>
      </c>
      <c r="C39" s="76">
        <v>0</v>
      </c>
      <c r="D39" s="77">
        <f t="shared" si="0"/>
        <v>0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8">
        <f t="shared" ref="P39" si="23">P38</f>
        <v>2.8</v>
      </c>
      <c r="Q39" s="79">
        <f t="shared" si="1"/>
        <v>1.4</v>
      </c>
      <c r="R39" s="78">
        <f>'Cert of STD'!D29</f>
        <v>0</v>
      </c>
      <c r="S39" s="79">
        <f t="shared" si="2"/>
        <v>0</v>
      </c>
      <c r="T39" s="80" t="e">
        <f>#REF!*2</f>
        <v>#REF!</v>
      </c>
      <c r="U39" s="81" t="e">
        <f t="shared" si="4"/>
        <v>#REF!</v>
      </c>
      <c r="V39" s="82">
        <f>(1/16)*'Data Record (pitch)'!D37</f>
        <v>0</v>
      </c>
      <c r="W39" s="81">
        <f t="shared" si="5"/>
        <v>0</v>
      </c>
      <c r="X39" s="76" t="e">
        <f t="shared" ref="X39" si="24">X38</f>
        <v>#REF!</v>
      </c>
      <c r="Y39" s="81" t="e">
        <f t="shared" si="5"/>
        <v>#REF!</v>
      </c>
      <c r="Z39" s="81">
        <v>1</v>
      </c>
      <c r="AA39" s="83">
        <f t="shared" si="6"/>
        <v>0.57735026918962584</v>
      </c>
      <c r="AB39" s="77" t="e">
        <f t="shared" ref="AB39" si="25">AB38</f>
        <v>#REF!</v>
      </c>
      <c r="AC39" s="84" t="e">
        <f t="shared" si="7"/>
        <v>#REF!</v>
      </c>
      <c r="AD39" s="83" t="e">
        <f t="shared" ref="AD39" si="26">AD38</f>
        <v>#REF!</v>
      </c>
      <c r="AE39" s="83" t="e">
        <f t="shared" si="8"/>
        <v>#REF!</v>
      </c>
      <c r="AF39" s="85" t="e">
        <f>(('Data Record (pitch)'!K35)*(11.5*10^-6)*1)</f>
        <v>#VALUE!</v>
      </c>
      <c r="AG39" s="77" t="e">
        <f t="shared" si="9"/>
        <v>#VALUE!</v>
      </c>
      <c r="AH39" s="77" t="e">
        <f t="shared" si="10"/>
        <v>#REF!</v>
      </c>
      <c r="AI39" s="86">
        <f t="shared" si="11"/>
        <v>0</v>
      </c>
      <c r="AJ39" s="71" t="e">
        <f t="shared" si="12"/>
        <v>#REF!</v>
      </c>
      <c r="AK39" s="74" t="e">
        <f t="shared" si="13"/>
        <v>#REF!</v>
      </c>
      <c r="AL39" s="87" t="e">
        <f t="shared" si="14"/>
        <v>#REF!</v>
      </c>
      <c r="AM39" s="7"/>
      <c r="AN39" s="7"/>
    </row>
    <row r="40" spans="1:50" s="13" customFormat="1" ht="18" hidden="1" customHeight="1">
      <c r="B40" s="75">
        <v>150</v>
      </c>
      <c r="C40" s="76">
        <v>0</v>
      </c>
      <c r="D40" s="77">
        <f t="shared" si="0"/>
        <v>0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8">
        <f>P39</f>
        <v>2.8</v>
      </c>
      <c r="Q40" s="79">
        <f t="shared" si="1"/>
        <v>1.4</v>
      </c>
      <c r="R40" s="78">
        <f>'Cert of STD'!D30</f>
        <v>0</v>
      </c>
      <c r="S40" s="79">
        <f t="shared" si="2"/>
        <v>0</v>
      </c>
      <c r="T40" s="80" t="e">
        <f>#REF!*2</f>
        <v>#REF!</v>
      </c>
      <c r="U40" s="81" t="e">
        <f t="shared" si="4"/>
        <v>#REF!</v>
      </c>
      <c r="V40" s="82">
        <f>(1/16)*'Data Record (pitch)'!D38</f>
        <v>0</v>
      </c>
      <c r="W40" s="81">
        <f t="shared" si="5"/>
        <v>0</v>
      </c>
      <c r="X40" s="76" t="e">
        <f>X39</f>
        <v>#REF!</v>
      </c>
      <c r="Y40" s="81" t="e">
        <f t="shared" si="5"/>
        <v>#REF!</v>
      </c>
      <c r="Z40" s="81">
        <v>1</v>
      </c>
      <c r="AA40" s="83">
        <f t="shared" si="6"/>
        <v>0.57735026918962584</v>
      </c>
      <c r="AB40" s="77" t="e">
        <f>AB39</f>
        <v>#REF!</v>
      </c>
      <c r="AC40" s="84" t="e">
        <f t="shared" si="7"/>
        <v>#REF!</v>
      </c>
      <c r="AD40" s="83" t="e">
        <f>AD39</f>
        <v>#REF!</v>
      </c>
      <c r="AE40" s="83" t="e">
        <f t="shared" si="8"/>
        <v>#REF!</v>
      </c>
      <c r="AF40" s="85">
        <f>(('Data Record (pitch)'!K36)*(11.5*10^-6)*1)</f>
        <v>2.0546474999999999E-4</v>
      </c>
      <c r="AG40" s="77">
        <f t="shared" si="9"/>
        <v>1.1862512872147916E-4</v>
      </c>
      <c r="AH40" s="77" t="e">
        <f t="shared" si="10"/>
        <v>#REF!</v>
      </c>
      <c r="AI40" s="86">
        <f t="shared" si="11"/>
        <v>0</v>
      </c>
      <c r="AJ40" s="71" t="e">
        <f t="shared" si="12"/>
        <v>#REF!</v>
      </c>
      <c r="AK40" s="74" t="e">
        <f t="shared" si="13"/>
        <v>#REF!</v>
      </c>
      <c r="AL40" s="87" t="e">
        <f t="shared" si="14"/>
        <v>#REF!</v>
      </c>
      <c r="AM40" s="7"/>
      <c r="AN40" s="7"/>
    </row>
    <row r="41" spans="1:50" s="13" customFormat="1" ht="18" hidden="1" customHeight="1">
      <c r="B41" s="75">
        <v>150</v>
      </c>
      <c r="C41" s="76">
        <v>0</v>
      </c>
      <c r="D41" s="77">
        <f t="shared" si="0"/>
        <v>0</v>
      </c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8">
        <f t="shared" ref="P41" si="27">P40</f>
        <v>2.8</v>
      </c>
      <c r="Q41" s="79">
        <f t="shared" si="1"/>
        <v>1.4</v>
      </c>
      <c r="R41" s="78">
        <f>'Cert of STD'!D31</f>
        <v>0</v>
      </c>
      <c r="S41" s="79">
        <f t="shared" si="2"/>
        <v>0</v>
      </c>
      <c r="T41" s="80" t="e">
        <f>#REF!*2</f>
        <v>#REF!</v>
      </c>
      <c r="U41" s="81" t="e">
        <f t="shared" si="4"/>
        <v>#REF!</v>
      </c>
      <c r="V41" s="82">
        <f>(1/16)*'Data Record (pitch)'!D39</f>
        <v>0</v>
      </c>
      <c r="W41" s="81">
        <f t="shared" si="5"/>
        <v>0</v>
      </c>
      <c r="X41" s="76" t="e">
        <f t="shared" ref="X41" si="28">X40</f>
        <v>#REF!</v>
      </c>
      <c r="Y41" s="81" t="e">
        <f t="shared" si="5"/>
        <v>#REF!</v>
      </c>
      <c r="Z41" s="81">
        <v>1</v>
      </c>
      <c r="AA41" s="83">
        <f t="shared" si="6"/>
        <v>0.57735026918962584</v>
      </c>
      <c r="AB41" s="77" t="e">
        <f t="shared" ref="AB41" si="29">AB40</f>
        <v>#REF!</v>
      </c>
      <c r="AC41" s="84" t="e">
        <f t="shared" si="7"/>
        <v>#REF!</v>
      </c>
      <c r="AD41" s="83" t="e">
        <f t="shared" ref="AD41" si="30">AD40</f>
        <v>#REF!</v>
      </c>
      <c r="AE41" s="83" t="e">
        <f t="shared" si="8"/>
        <v>#REF!</v>
      </c>
      <c r="AF41" s="85">
        <f>(('Data Record (pitch)'!K37)*(11.5*10^-6)*1)</f>
        <v>2.0546474999999999E-4</v>
      </c>
      <c r="AG41" s="77">
        <f t="shared" si="9"/>
        <v>1.1862512872147916E-4</v>
      </c>
      <c r="AH41" s="77" t="e">
        <f t="shared" si="10"/>
        <v>#REF!</v>
      </c>
      <c r="AI41" s="86">
        <f t="shared" si="11"/>
        <v>0</v>
      </c>
      <c r="AJ41" s="71" t="e">
        <f t="shared" si="12"/>
        <v>#REF!</v>
      </c>
      <c r="AK41" s="74" t="e">
        <f t="shared" si="13"/>
        <v>#REF!</v>
      </c>
      <c r="AL41" s="87" t="e">
        <f t="shared" si="14"/>
        <v>#REF!</v>
      </c>
      <c r="AM41" s="7"/>
      <c r="AN41" s="7"/>
    </row>
    <row r="42" spans="1:50" s="13" customFormat="1" ht="18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50" s="13" customFormat="1" ht="18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50" s="13" customFormat="1" ht="18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50" s="13" customFormat="1" ht="18" customHeight="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50" s="13" customFormat="1" ht="18" customHeight="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50" s="13" customFormat="1" ht="18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50" s="13" customFormat="1" ht="18" customHeight="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2:40" s="13" customFormat="1" ht="18" customHeight="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2:40" s="13" customFormat="1" ht="18" customHeight="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2:40" s="13" customFormat="1" ht="18" customHeight="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2:40" s="13" customFormat="1" ht="18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2:40" s="13" customFormat="1" ht="18" customHeigh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R53" s="90"/>
      <c r="S53" s="7"/>
      <c r="U53" s="7"/>
      <c r="W53" s="7"/>
      <c r="X53" s="7"/>
      <c r="Y53" s="7"/>
      <c r="Z53" s="7"/>
      <c r="AA53" s="7"/>
      <c r="AB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2:40" s="13" customFormat="1" ht="18" customHeight="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V54" s="91"/>
      <c r="W54" s="91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2:40" s="13" customFormat="1" ht="1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2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4"/>
      <c r="AI55" s="93"/>
      <c r="AJ55" s="93"/>
      <c r="AK55" s="93"/>
      <c r="AL55" s="95"/>
      <c r="AM55" s="96"/>
      <c r="AN55" s="93"/>
    </row>
    <row r="56" spans="2:40" s="13" customFormat="1" ht="1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92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4"/>
      <c r="AI56" s="93"/>
      <c r="AJ56" s="93"/>
      <c r="AK56" s="93"/>
      <c r="AL56" s="95"/>
      <c r="AM56" s="96"/>
      <c r="AN56" s="93"/>
    </row>
    <row r="57" spans="2:40" s="13" customFormat="1" ht="1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92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4"/>
      <c r="AI57" s="93"/>
      <c r="AJ57" s="93"/>
      <c r="AK57" s="93"/>
      <c r="AL57" s="95"/>
      <c r="AM57" s="96"/>
      <c r="AN57" s="93"/>
    </row>
    <row r="58" spans="2:40">
      <c r="V58" s="93"/>
    </row>
  </sheetData>
  <mergeCells count="81">
    <mergeCell ref="C24:E24"/>
    <mergeCell ref="F24:G24"/>
    <mergeCell ref="H24:I24"/>
    <mergeCell ref="J24:K24"/>
    <mergeCell ref="M24:N24"/>
    <mergeCell ref="C25:E25"/>
    <mergeCell ref="F25:G25"/>
    <mergeCell ref="H25:I25"/>
    <mergeCell ref="J25:K25"/>
    <mergeCell ref="M25:N25"/>
    <mergeCell ref="C22:E22"/>
    <mergeCell ref="F22:G22"/>
    <mergeCell ref="H22:I22"/>
    <mergeCell ref="J22:K22"/>
    <mergeCell ref="M22:N22"/>
    <mergeCell ref="C23:E23"/>
    <mergeCell ref="F23:G23"/>
    <mergeCell ref="H23:I23"/>
    <mergeCell ref="J23:K23"/>
    <mergeCell ref="M23:N23"/>
    <mergeCell ref="C20:E20"/>
    <mergeCell ref="F20:G20"/>
    <mergeCell ref="H20:I20"/>
    <mergeCell ref="J20:K20"/>
    <mergeCell ref="M20:N20"/>
    <mergeCell ref="C21:E21"/>
    <mergeCell ref="F21:G21"/>
    <mergeCell ref="H21:I21"/>
    <mergeCell ref="J21:K21"/>
    <mergeCell ref="M21:N21"/>
    <mergeCell ref="C18:E18"/>
    <mergeCell ref="F18:G18"/>
    <mergeCell ref="H18:I18"/>
    <mergeCell ref="J18:K18"/>
    <mergeCell ref="M18:N18"/>
    <mergeCell ref="C19:E19"/>
    <mergeCell ref="F19:G19"/>
    <mergeCell ref="H19:I19"/>
    <mergeCell ref="J19:K19"/>
    <mergeCell ref="M19:N19"/>
    <mergeCell ref="C16:E16"/>
    <mergeCell ref="F16:G16"/>
    <mergeCell ref="H16:I16"/>
    <mergeCell ref="J16:K16"/>
    <mergeCell ref="M16:N16"/>
    <mergeCell ref="C17:E17"/>
    <mergeCell ref="F17:G17"/>
    <mergeCell ref="H17:I17"/>
    <mergeCell ref="J17:K17"/>
    <mergeCell ref="M17:N17"/>
    <mergeCell ref="C14:E14"/>
    <mergeCell ref="F14:G14"/>
    <mergeCell ref="H14:I14"/>
    <mergeCell ref="J14:K14"/>
    <mergeCell ref="M14:N14"/>
    <mergeCell ref="C15:E15"/>
    <mergeCell ref="F15:G15"/>
    <mergeCell ref="H15:I15"/>
    <mergeCell ref="J15:K15"/>
    <mergeCell ref="M15:N15"/>
    <mergeCell ref="J12:K13"/>
    <mergeCell ref="L12:L13"/>
    <mergeCell ref="M12:N12"/>
    <mergeCell ref="O12:O13"/>
    <mergeCell ref="F13:G13"/>
    <mergeCell ref="H13:I13"/>
    <mergeCell ref="M13:N13"/>
    <mergeCell ref="D6:E6"/>
    <mergeCell ref="D7:E7"/>
    <mergeCell ref="G8:H8"/>
    <mergeCell ref="G9:H9"/>
    <mergeCell ref="B12:B13"/>
    <mergeCell ref="C12:E13"/>
    <mergeCell ref="F12:G12"/>
    <mergeCell ref="H12:I12"/>
    <mergeCell ref="Q5:R5"/>
    <mergeCell ref="B2:O2"/>
    <mergeCell ref="B5:C5"/>
    <mergeCell ref="E5:F5"/>
    <mergeCell ref="I5:J5"/>
    <mergeCell ref="K5:L5"/>
  </mergeCells>
  <pageMargins left="0.31496062992125984" right="0.31496062992125984" top="0.74803149606299213" bottom="0.74803149606299213" header="0.31496062992125984" footer="0.31496062992125984"/>
  <pageSetup paperSize="9" scale="85" orientation="landscape" r:id="rId1"/>
  <colBreaks count="1" manualBreakCount="1">
    <brk id="38" max="1048575" man="1"/>
  </colBreaks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14</xdr:col>
                <xdr:colOff>171450</xdr:colOff>
                <xdr:row>14</xdr:row>
                <xdr:rowOff>28575</xdr:rowOff>
              </from>
              <to>
                <xdr:col>14</xdr:col>
                <xdr:colOff>428625</xdr:colOff>
                <xdr:row>14</xdr:row>
                <xdr:rowOff>200025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5">
            <anchor moveWithCells="1">
              <from>
                <xdr:col>14</xdr:col>
                <xdr:colOff>171450</xdr:colOff>
                <xdr:row>15</xdr:row>
                <xdr:rowOff>28575</xdr:rowOff>
              </from>
              <to>
                <xdr:col>14</xdr:col>
                <xdr:colOff>428625</xdr:colOff>
                <xdr:row>15</xdr:row>
                <xdr:rowOff>200025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7">
          <objectPr defaultSize="0" autoPict="0" r:id="rId5">
            <anchor moveWithCells="1">
              <from>
                <xdr:col>14</xdr:col>
                <xdr:colOff>171450</xdr:colOff>
                <xdr:row>16</xdr:row>
                <xdr:rowOff>28575</xdr:rowOff>
              </from>
              <to>
                <xdr:col>14</xdr:col>
                <xdr:colOff>428625</xdr:colOff>
                <xdr:row>16</xdr:row>
                <xdr:rowOff>200025</xdr:rowOff>
              </to>
            </anchor>
          </objectPr>
        </oleObject>
      </mc:Choice>
      <mc:Fallback>
        <oleObject progId="Equation.3" shapeId="2051" r:id="rId7"/>
      </mc:Fallback>
    </mc:AlternateContent>
    <mc:AlternateContent xmlns:mc="http://schemas.openxmlformats.org/markup-compatibility/2006">
      <mc:Choice Requires="x14">
        <oleObject progId="Equation.3" shapeId="2052" r:id="rId8">
          <objectPr defaultSize="0" autoPict="0" r:id="rId5">
            <anchor moveWithCells="1">
              <from>
                <xdr:col>14</xdr:col>
                <xdr:colOff>171450</xdr:colOff>
                <xdr:row>17</xdr:row>
                <xdr:rowOff>28575</xdr:rowOff>
              </from>
              <to>
                <xdr:col>14</xdr:col>
                <xdr:colOff>428625</xdr:colOff>
                <xdr:row>17</xdr:row>
                <xdr:rowOff>200025</xdr:rowOff>
              </to>
            </anchor>
          </objectPr>
        </oleObject>
      </mc:Choice>
      <mc:Fallback>
        <oleObject progId="Equation.3" shapeId="2052" r:id="rId8"/>
      </mc:Fallback>
    </mc:AlternateContent>
    <mc:AlternateContent xmlns:mc="http://schemas.openxmlformats.org/markup-compatibility/2006">
      <mc:Choice Requires="x14">
        <oleObject progId="Equation.3" shapeId="2053" r:id="rId9">
          <objectPr defaultSize="0" autoPict="0" r:id="rId5">
            <anchor moveWithCells="1">
              <from>
                <xdr:col>14</xdr:col>
                <xdr:colOff>171450</xdr:colOff>
                <xdr:row>18</xdr:row>
                <xdr:rowOff>28575</xdr:rowOff>
              </from>
              <to>
                <xdr:col>14</xdr:col>
                <xdr:colOff>428625</xdr:colOff>
                <xdr:row>18</xdr:row>
                <xdr:rowOff>200025</xdr:rowOff>
              </to>
            </anchor>
          </objectPr>
        </oleObject>
      </mc:Choice>
      <mc:Fallback>
        <oleObject progId="Equation.3" shapeId="2053" r:id="rId9"/>
      </mc:Fallback>
    </mc:AlternateContent>
    <mc:AlternateContent xmlns:mc="http://schemas.openxmlformats.org/markup-compatibility/2006">
      <mc:Choice Requires="x14">
        <oleObject progId="Equation.3" shapeId="2054" r:id="rId10">
          <objectPr defaultSize="0" autoPict="0" r:id="rId5">
            <anchor moveWithCells="1">
              <from>
                <xdr:col>14</xdr:col>
                <xdr:colOff>171450</xdr:colOff>
                <xdr:row>19</xdr:row>
                <xdr:rowOff>28575</xdr:rowOff>
              </from>
              <to>
                <xdr:col>14</xdr:col>
                <xdr:colOff>428625</xdr:colOff>
                <xdr:row>19</xdr:row>
                <xdr:rowOff>200025</xdr:rowOff>
              </to>
            </anchor>
          </objectPr>
        </oleObject>
      </mc:Choice>
      <mc:Fallback>
        <oleObject progId="Equation.3" shapeId="2054" r:id="rId10"/>
      </mc:Fallback>
    </mc:AlternateContent>
    <mc:AlternateContent xmlns:mc="http://schemas.openxmlformats.org/markup-compatibility/2006">
      <mc:Choice Requires="x14">
        <oleObject progId="Equation.3" shapeId="2055" r:id="rId11">
          <objectPr defaultSize="0" autoPict="0" r:id="rId5">
            <anchor moveWithCells="1">
              <from>
                <xdr:col>14</xdr:col>
                <xdr:colOff>171450</xdr:colOff>
                <xdr:row>20</xdr:row>
                <xdr:rowOff>28575</xdr:rowOff>
              </from>
              <to>
                <xdr:col>14</xdr:col>
                <xdr:colOff>428625</xdr:colOff>
                <xdr:row>20</xdr:row>
                <xdr:rowOff>200025</xdr:rowOff>
              </to>
            </anchor>
          </objectPr>
        </oleObject>
      </mc:Choice>
      <mc:Fallback>
        <oleObject progId="Equation.3" shapeId="2055" r:id="rId11"/>
      </mc:Fallback>
    </mc:AlternateContent>
    <mc:AlternateContent xmlns:mc="http://schemas.openxmlformats.org/markup-compatibility/2006">
      <mc:Choice Requires="x14">
        <oleObject progId="Equation.3" shapeId="2056" r:id="rId12">
          <objectPr defaultSize="0" autoPict="0" r:id="rId5">
            <anchor moveWithCells="1">
              <from>
                <xdr:col>14</xdr:col>
                <xdr:colOff>171450</xdr:colOff>
                <xdr:row>21</xdr:row>
                <xdr:rowOff>28575</xdr:rowOff>
              </from>
              <to>
                <xdr:col>14</xdr:col>
                <xdr:colOff>428625</xdr:colOff>
                <xdr:row>21</xdr:row>
                <xdr:rowOff>200025</xdr:rowOff>
              </to>
            </anchor>
          </objectPr>
        </oleObject>
      </mc:Choice>
      <mc:Fallback>
        <oleObject progId="Equation.3" shapeId="2056" r:id="rId12"/>
      </mc:Fallback>
    </mc:AlternateContent>
    <mc:AlternateContent xmlns:mc="http://schemas.openxmlformats.org/markup-compatibility/2006">
      <mc:Choice Requires="x14">
        <oleObject progId="Equation.3" shapeId="2057" r:id="rId13">
          <objectPr defaultSize="0" autoPict="0" r:id="rId5">
            <anchor moveWithCells="1">
              <from>
                <xdr:col>14</xdr:col>
                <xdr:colOff>171450</xdr:colOff>
                <xdr:row>22</xdr:row>
                <xdr:rowOff>28575</xdr:rowOff>
              </from>
              <to>
                <xdr:col>14</xdr:col>
                <xdr:colOff>428625</xdr:colOff>
                <xdr:row>22</xdr:row>
                <xdr:rowOff>200025</xdr:rowOff>
              </to>
            </anchor>
          </objectPr>
        </oleObject>
      </mc:Choice>
      <mc:Fallback>
        <oleObject progId="Equation.3" shapeId="2057" r:id="rId1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S22"/>
  <sheetViews>
    <sheetView topLeftCell="A7" workbookViewId="0">
      <selection activeCell="T7" sqref="T7"/>
    </sheetView>
  </sheetViews>
  <sheetFormatPr defaultRowHeight="23.25"/>
  <cols>
    <col min="1" max="1" width="1.5703125" customWidth="1"/>
    <col min="2" max="2" width="4.28515625" style="99" customWidth="1"/>
    <col min="3" max="3" width="2.85546875" style="99" customWidth="1"/>
    <col min="4" max="4" width="4.5703125" style="99" customWidth="1"/>
    <col min="5" max="5" width="2.7109375" style="99" customWidth="1"/>
    <col min="6" max="6" width="7" style="99" customWidth="1"/>
    <col min="7" max="7" width="3.140625" style="99" customWidth="1"/>
    <col min="8" max="8" width="2.7109375" style="99" customWidth="1"/>
    <col min="9" max="9" width="7.5703125" style="99" customWidth="1"/>
    <col min="10" max="10" width="5.5703125" style="99" customWidth="1"/>
    <col min="11" max="11" width="2.7109375" style="99" customWidth="1"/>
    <col min="12" max="12" width="7" style="99" customWidth="1"/>
    <col min="13" max="13" width="3.140625" style="99" customWidth="1"/>
    <col min="14" max="14" width="2.7109375" style="99" customWidth="1"/>
    <col min="15" max="16" width="5.5703125" style="99" customWidth="1"/>
    <col min="17" max="17" width="2.7109375" style="99" customWidth="1"/>
    <col min="18" max="18" width="7" style="99" customWidth="1"/>
    <col min="19" max="19" width="3.140625" style="99" customWidth="1"/>
  </cols>
  <sheetData>
    <row r="1" spans="2:19" ht="26.25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  <c r="P1" s="98"/>
      <c r="Q1" s="98"/>
      <c r="R1" s="98"/>
      <c r="S1" s="98"/>
    </row>
    <row r="2" spans="2:19" ht="26.25"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</row>
    <row r="3" spans="2:19" ht="26.25"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</row>
    <row r="4" spans="2:19">
      <c r="B4" s="557" t="s">
        <v>83</v>
      </c>
      <c r="C4" s="558"/>
      <c r="D4" s="558"/>
      <c r="E4" s="558"/>
      <c r="F4" s="558"/>
      <c r="G4" s="559"/>
      <c r="I4" s="557" t="s">
        <v>84</v>
      </c>
      <c r="J4" s="558"/>
      <c r="K4" s="558"/>
      <c r="L4" s="558"/>
      <c r="M4" s="559"/>
      <c r="O4" s="557" t="s">
        <v>85</v>
      </c>
      <c r="P4" s="558"/>
      <c r="Q4" s="558"/>
      <c r="R4" s="558"/>
      <c r="S4" s="559"/>
    </row>
    <row r="5" spans="2:19">
      <c r="B5" s="560" t="s">
        <v>86</v>
      </c>
      <c r="C5" s="561"/>
      <c r="D5" s="561"/>
      <c r="E5" s="561"/>
      <c r="F5" s="561"/>
      <c r="G5" s="562"/>
      <c r="I5" s="560" t="s">
        <v>87</v>
      </c>
      <c r="J5" s="561"/>
      <c r="K5" s="561"/>
      <c r="L5" s="561"/>
      <c r="M5" s="562"/>
      <c r="O5" s="560" t="s">
        <v>88</v>
      </c>
      <c r="P5" s="561"/>
      <c r="Q5" s="561"/>
      <c r="R5" s="561"/>
      <c r="S5" s="562"/>
    </row>
    <row r="6" spans="2:19">
      <c r="B6" s="563" t="s">
        <v>89</v>
      </c>
      <c r="C6" s="564"/>
      <c r="D6" s="565"/>
      <c r="E6" s="554">
        <v>42488</v>
      </c>
      <c r="F6" s="555"/>
      <c r="G6" s="556"/>
      <c r="I6" s="566" t="s">
        <v>89</v>
      </c>
      <c r="J6" s="567"/>
      <c r="K6" s="568">
        <v>42651</v>
      </c>
      <c r="L6" s="569"/>
      <c r="M6" s="570"/>
      <c r="O6" s="563" t="s">
        <v>89</v>
      </c>
      <c r="P6" s="565"/>
      <c r="Q6" s="554">
        <v>42503</v>
      </c>
      <c r="R6" s="555"/>
      <c r="S6" s="556"/>
    </row>
    <row r="7" spans="2:19">
      <c r="B7" s="100">
        <v>1</v>
      </c>
      <c r="C7" s="101" t="s">
        <v>22</v>
      </c>
      <c r="D7" s="102">
        <v>0.21</v>
      </c>
      <c r="E7" s="103" t="s">
        <v>90</v>
      </c>
      <c r="F7" s="104">
        <f t="shared" ref="F7:F22" si="0">D7/1000</f>
        <v>2.0999999999999998E-4</v>
      </c>
      <c r="G7" s="105" t="s">
        <v>22</v>
      </c>
      <c r="I7" s="106">
        <v>2</v>
      </c>
      <c r="J7" s="107">
        <v>0.59</v>
      </c>
      <c r="K7" s="108" t="s">
        <v>91</v>
      </c>
      <c r="L7" s="109">
        <f>J7/1000</f>
        <v>5.8999999999999992E-4</v>
      </c>
      <c r="M7" s="110" t="s">
        <v>22</v>
      </c>
      <c r="O7" s="111">
        <v>2.5</v>
      </c>
      <c r="P7" s="112">
        <v>0.08</v>
      </c>
      <c r="Q7" s="108" t="s">
        <v>91</v>
      </c>
      <c r="R7" s="113">
        <f t="shared" ref="R7:R19" si="1">P7/1000</f>
        <v>8.0000000000000007E-5</v>
      </c>
      <c r="S7" s="114" t="s">
        <v>22</v>
      </c>
    </row>
    <row r="8" spans="2:19">
      <c r="B8" s="115">
        <v>1.01</v>
      </c>
      <c r="C8" s="101" t="s">
        <v>22</v>
      </c>
      <c r="D8" s="102">
        <v>0.21</v>
      </c>
      <c r="E8" s="103" t="s">
        <v>90</v>
      </c>
      <c r="F8" s="104">
        <f t="shared" si="0"/>
        <v>2.0999999999999998E-4</v>
      </c>
      <c r="G8" s="105" t="s">
        <v>22</v>
      </c>
      <c r="I8" s="106">
        <v>3</v>
      </c>
      <c r="J8" s="107">
        <v>0.59</v>
      </c>
      <c r="K8" s="108" t="s">
        <v>91</v>
      </c>
      <c r="L8" s="109">
        <f>J8/1000</f>
        <v>5.8999999999999992E-4</v>
      </c>
      <c r="M8" s="110" t="s">
        <v>22</v>
      </c>
      <c r="O8" s="111">
        <v>5.0999999999999996</v>
      </c>
      <c r="P8" s="112">
        <v>0.09</v>
      </c>
      <c r="Q8" s="108" t="s">
        <v>91</v>
      </c>
      <c r="R8" s="113">
        <f t="shared" si="1"/>
        <v>8.9999999999999992E-5</v>
      </c>
      <c r="S8" s="114" t="s">
        <v>22</v>
      </c>
    </row>
    <row r="9" spans="2:19">
      <c r="B9" s="115">
        <v>1.05</v>
      </c>
      <c r="C9" s="101" t="s">
        <v>22</v>
      </c>
      <c r="D9" s="102">
        <v>0.21</v>
      </c>
      <c r="E9" s="103" t="s">
        <v>90</v>
      </c>
      <c r="F9" s="104">
        <f t="shared" si="0"/>
        <v>2.0999999999999998E-4</v>
      </c>
      <c r="G9" s="105" t="s">
        <v>22</v>
      </c>
      <c r="I9" s="106">
        <v>4</v>
      </c>
      <c r="J9" s="107">
        <v>0.7</v>
      </c>
      <c r="K9" s="108" t="s">
        <v>91</v>
      </c>
      <c r="L9" s="109">
        <f t="shared" ref="L9:L22" si="2">J9/1000</f>
        <v>6.9999999999999999E-4</v>
      </c>
      <c r="M9" s="110" t="s">
        <v>22</v>
      </c>
      <c r="O9" s="111">
        <v>7.7</v>
      </c>
      <c r="P9" s="112">
        <v>0.09</v>
      </c>
      <c r="Q9" s="108" t="s">
        <v>91</v>
      </c>
      <c r="R9" s="113">
        <f t="shared" si="1"/>
        <v>8.9999999999999992E-5</v>
      </c>
      <c r="S9" s="114" t="s">
        <v>22</v>
      </c>
    </row>
    <row r="10" spans="2:19">
      <c r="B10" s="115">
        <v>1.1000000000000001</v>
      </c>
      <c r="C10" s="101" t="s">
        <v>22</v>
      </c>
      <c r="D10" s="102">
        <v>0.21</v>
      </c>
      <c r="E10" s="103" t="s">
        <v>90</v>
      </c>
      <c r="F10" s="104">
        <f t="shared" si="0"/>
        <v>2.0999999999999998E-4</v>
      </c>
      <c r="G10" s="105" t="s">
        <v>22</v>
      </c>
      <c r="I10" s="106">
        <v>5</v>
      </c>
      <c r="J10" s="107">
        <v>0.7</v>
      </c>
      <c r="K10" s="108" t="s">
        <v>91</v>
      </c>
      <c r="L10" s="109">
        <f t="shared" si="2"/>
        <v>6.9999999999999999E-4</v>
      </c>
      <c r="M10" s="110" t="s">
        <v>22</v>
      </c>
      <c r="O10" s="111">
        <v>10.3</v>
      </c>
      <c r="P10" s="112">
        <v>0.09</v>
      </c>
      <c r="Q10" s="108" t="s">
        <v>91</v>
      </c>
      <c r="R10" s="113">
        <f t="shared" si="1"/>
        <v>8.9999999999999992E-5</v>
      </c>
      <c r="S10" s="114" t="s">
        <v>22</v>
      </c>
    </row>
    <row r="11" spans="2:19">
      <c r="B11" s="100">
        <v>2</v>
      </c>
      <c r="C11" s="101" t="s">
        <v>22</v>
      </c>
      <c r="D11" s="102">
        <v>0.21</v>
      </c>
      <c r="E11" s="103" t="s">
        <v>90</v>
      </c>
      <c r="F11" s="104">
        <f t="shared" si="0"/>
        <v>2.0999999999999998E-4</v>
      </c>
      <c r="G11" s="105" t="s">
        <v>22</v>
      </c>
      <c r="I11" s="106">
        <v>6</v>
      </c>
      <c r="J11" s="107">
        <v>0.75</v>
      </c>
      <c r="K11" s="108" t="s">
        <v>91</v>
      </c>
      <c r="L11" s="109">
        <f t="shared" si="2"/>
        <v>7.5000000000000002E-4</v>
      </c>
      <c r="M11" s="110" t="s">
        <v>22</v>
      </c>
      <c r="O11" s="111">
        <v>12.9</v>
      </c>
      <c r="P11" s="112">
        <v>0.09</v>
      </c>
      <c r="Q11" s="108" t="s">
        <v>91</v>
      </c>
      <c r="R11" s="113">
        <f t="shared" si="1"/>
        <v>8.9999999999999992E-5</v>
      </c>
      <c r="S11" s="114" t="s">
        <v>22</v>
      </c>
    </row>
    <row r="12" spans="2:19">
      <c r="B12" s="100">
        <v>5</v>
      </c>
      <c r="C12" s="101" t="s">
        <v>22</v>
      </c>
      <c r="D12" s="102">
        <v>0.21</v>
      </c>
      <c r="E12" s="103" t="s">
        <v>90</v>
      </c>
      <c r="F12" s="104">
        <f t="shared" si="0"/>
        <v>2.0999999999999998E-4</v>
      </c>
      <c r="G12" s="105" t="s">
        <v>22</v>
      </c>
      <c r="I12" s="106">
        <v>8</v>
      </c>
      <c r="J12" s="107">
        <v>0.75</v>
      </c>
      <c r="K12" s="108" t="s">
        <v>91</v>
      </c>
      <c r="L12" s="109">
        <f t="shared" si="2"/>
        <v>7.5000000000000002E-4</v>
      </c>
      <c r="M12" s="110" t="s">
        <v>22</v>
      </c>
      <c r="O12" s="116">
        <v>15</v>
      </c>
      <c r="P12" s="112">
        <v>0.1</v>
      </c>
      <c r="Q12" s="108" t="s">
        <v>91</v>
      </c>
      <c r="R12" s="113">
        <f t="shared" si="1"/>
        <v>1E-4</v>
      </c>
      <c r="S12" s="114" t="s">
        <v>22</v>
      </c>
    </row>
    <row r="13" spans="2:19">
      <c r="B13" s="100">
        <v>10</v>
      </c>
      <c r="C13" s="101" t="s">
        <v>22</v>
      </c>
      <c r="D13" s="102">
        <v>0.21</v>
      </c>
      <c r="E13" s="103" t="s">
        <v>90</v>
      </c>
      <c r="F13" s="104">
        <f t="shared" si="0"/>
        <v>2.0999999999999998E-4</v>
      </c>
      <c r="G13" s="105" t="s">
        <v>22</v>
      </c>
      <c r="I13" s="106">
        <v>10</v>
      </c>
      <c r="J13" s="107">
        <v>0.8</v>
      </c>
      <c r="K13" s="108" t="s">
        <v>91</v>
      </c>
      <c r="L13" s="109">
        <f t="shared" si="2"/>
        <v>8.0000000000000004E-4</v>
      </c>
      <c r="M13" s="110" t="s">
        <v>22</v>
      </c>
      <c r="O13" s="111">
        <v>17.600000000000001</v>
      </c>
      <c r="P13" s="112">
        <v>0.1</v>
      </c>
      <c r="Q13" s="108" t="s">
        <v>91</v>
      </c>
      <c r="R13" s="113">
        <f t="shared" si="1"/>
        <v>1E-4</v>
      </c>
      <c r="S13" s="114" t="s">
        <v>22</v>
      </c>
    </row>
    <row r="14" spans="2:19">
      <c r="B14" s="100">
        <v>20</v>
      </c>
      <c r="C14" s="101" t="s">
        <v>22</v>
      </c>
      <c r="D14" s="102">
        <v>0.23</v>
      </c>
      <c r="E14" s="103" t="s">
        <v>90</v>
      </c>
      <c r="F14" s="104">
        <f t="shared" si="0"/>
        <v>2.3000000000000001E-4</v>
      </c>
      <c r="G14" s="105" t="s">
        <v>22</v>
      </c>
      <c r="I14" s="106">
        <v>12</v>
      </c>
      <c r="J14" s="107">
        <v>0.87</v>
      </c>
      <c r="K14" s="108" t="s">
        <v>91</v>
      </c>
      <c r="L14" s="109">
        <f t="shared" si="2"/>
        <v>8.7000000000000001E-4</v>
      </c>
      <c r="M14" s="110" t="s">
        <v>22</v>
      </c>
      <c r="O14" s="111">
        <v>20.2</v>
      </c>
      <c r="P14" s="112">
        <v>0.1</v>
      </c>
      <c r="Q14" s="108" t="s">
        <v>91</v>
      </c>
      <c r="R14" s="113">
        <f t="shared" si="1"/>
        <v>1E-4</v>
      </c>
      <c r="S14" s="114" t="s">
        <v>22</v>
      </c>
    </row>
    <row r="15" spans="2:19">
      <c r="B15" s="100">
        <v>30</v>
      </c>
      <c r="C15" s="101" t="s">
        <v>22</v>
      </c>
      <c r="D15" s="102">
        <v>0.27</v>
      </c>
      <c r="E15" s="103" t="s">
        <v>90</v>
      </c>
      <c r="F15" s="104">
        <f t="shared" si="0"/>
        <v>2.7E-4</v>
      </c>
      <c r="G15" s="105" t="s">
        <v>22</v>
      </c>
      <c r="I15" s="106">
        <v>16</v>
      </c>
      <c r="J15" s="107">
        <v>0.99</v>
      </c>
      <c r="K15" s="108" t="s">
        <v>91</v>
      </c>
      <c r="L15" s="109">
        <f t="shared" si="2"/>
        <v>9.8999999999999999E-4</v>
      </c>
      <c r="M15" s="110" t="s">
        <v>22</v>
      </c>
      <c r="O15" s="111">
        <v>22.8</v>
      </c>
      <c r="P15" s="112">
        <v>0.1</v>
      </c>
      <c r="Q15" s="108" t="s">
        <v>91</v>
      </c>
      <c r="R15" s="113">
        <f t="shared" si="1"/>
        <v>1E-4</v>
      </c>
      <c r="S15" s="114" t="s">
        <v>22</v>
      </c>
    </row>
    <row r="16" spans="2:19">
      <c r="B16" s="100">
        <v>40</v>
      </c>
      <c r="C16" s="101" t="s">
        <v>22</v>
      </c>
      <c r="D16" s="102">
        <v>0.27</v>
      </c>
      <c r="E16" s="117" t="s">
        <v>90</v>
      </c>
      <c r="F16" s="104">
        <f t="shared" si="0"/>
        <v>2.7E-4</v>
      </c>
      <c r="G16" s="105" t="s">
        <v>22</v>
      </c>
      <c r="I16" s="106">
        <v>18</v>
      </c>
      <c r="J16" s="107">
        <v>0.99</v>
      </c>
      <c r="K16" s="108" t="s">
        <v>91</v>
      </c>
      <c r="L16" s="109">
        <f t="shared" si="2"/>
        <v>9.8999999999999999E-4</v>
      </c>
      <c r="M16" s="110" t="s">
        <v>22</v>
      </c>
      <c r="O16" s="116">
        <v>25</v>
      </c>
      <c r="P16" s="112">
        <v>0.11</v>
      </c>
      <c r="Q16" s="108" t="s">
        <v>91</v>
      </c>
      <c r="R16" s="113">
        <f t="shared" si="1"/>
        <v>1.1E-4</v>
      </c>
      <c r="S16" s="114" t="s">
        <v>22</v>
      </c>
    </row>
    <row r="17" spans="2:19">
      <c r="B17" s="100">
        <v>50</v>
      </c>
      <c r="C17" s="101" t="s">
        <v>22</v>
      </c>
      <c r="D17" s="102">
        <v>0.27</v>
      </c>
      <c r="E17" s="117" t="s">
        <v>90</v>
      </c>
      <c r="F17" s="104">
        <f t="shared" si="0"/>
        <v>2.7E-4</v>
      </c>
      <c r="G17" s="105" t="s">
        <v>22</v>
      </c>
      <c r="I17" s="106">
        <v>20</v>
      </c>
      <c r="J17" s="107">
        <v>1.1000000000000001</v>
      </c>
      <c r="K17" s="108" t="s">
        <v>91</v>
      </c>
      <c r="L17" s="109">
        <f t="shared" si="2"/>
        <v>1.1000000000000001E-3</v>
      </c>
      <c r="M17" s="110" t="s">
        <v>22</v>
      </c>
      <c r="O17" s="116">
        <v>50</v>
      </c>
      <c r="P17" s="112">
        <v>0.13</v>
      </c>
      <c r="Q17" s="108" t="s">
        <v>91</v>
      </c>
      <c r="R17" s="113">
        <f t="shared" si="1"/>
        <v>1.3000000000000002E-4</v>
      </c>
      <c r="S17" s="114" t="s">
        <v>22</v>
      </c>
    </row>
    <row r="18" spans="2:19">
      <c r="B18" s="100">
        <v>60</v>
      </c>
      <c r="C18" s="101" t="s">
        <v>22</v>
      </c>
      <c r="D18" s="102">
        <v>0.32</v>
      </c>
      <c r="E18" s="117" t="s">
        <v>90</v>
      </c>
      <c r="F18" s="104">
        <f t="shared" si="0"/>
        <v>3.2000000000000003E-4</v>
      </c>
      <c r="G18" s="105" t="s">
        <v>22</v>
      </c>
      <c r="I18" s="106">
        <v>22</v>
      </c>
      <c r="J18" s="107">
        <v>1.2</v>
      </c>
      <c r="K18" s="108" t="s">
        <v>91</v>
      </c>
      <c r="L18" s="109">
        <f t="shared" si="2"/>
        <v>1.1999999999999999E-3</v>
      </c>
      <c r="M18" s="110" t="s">
        <v>22</v>
      </c>
      <c r="O18" s="116">
        <v>75</v>
      </c>
      <c r="P18" s="112">
        <v>0.16</v>
      </c>
      <c r="Q18" s="108" t="s">
        <v>91</v>
      </c>
      <c r="R18" s="113">
        <f t="shared" si="1"/>
        <v>1.6000000000000001E-4</v>
      </c>
      <c r="S18" s="114" t="s">
        <v>22</v>
      </c>
    </row>
    <row r="19" spans="2:19">
      <c r="B19" s="100">
        <v>70</v>
      </c>
      <c r="C19" s="101" t="s">
        <v>22</v>
      </c>
      <c r="D19" s="102">
        <v>0.32</v>
      </c>
      <c r="E19" s="117" t="s">
        <v>90</v>
      </c>
      <c r="F19" s="104">
        <f t="shared" si="0"/>
        <v>3.2000000000000003E-4</v>
      </c>
      <c r="G19" s="105" t="s">
        <v>22</v>
      </c>
      <c r="I19" s="106">
        <v>25</v>
      </c>
      <c r="J19" s="107">
        <v>1.2</v>
      </c>
      <c r="K19" s="108" t="s">
        <v>91</v>
      </c>
      <c r="L19" s="109">
        <f t="shared" si="2"/>
        <v>1.1999999999999999E-3</v>
      </c>
      <c r="M19" s="110" t="s">
        <v>22</v>
      </c>
      <c r="O19" s="116">
        <v>100</v>
      </c>
      <c r="P19" s="112">
        <v>0.18</v>
      </c>
      <c r="Q19" s="108" t="s">
        <v>91</v>
      </c>
      <c r="R19" s="113">
        <f t="shared" si="1"/>
        <v>1.7999999999999998E-4</v>
      </c>
      <c r="S19" s="114" t="s">
        <v>22</v>
      </c>
    </row>
    <row r="20" spans="2:19">
      <c r="B20" s="100">
        <v>80</v>
      </c>
      <c r="C20" s="101" t="s">
        <v>22</v>
      </c>
      <c r="D20" s="102">
        <v>0.39</v>
      </c>
      <c r="E20" s="117" t="s">
        <v>90</v>
      </c>
      <c r="F20" s="104">
        <f t="shared" si="0"/>
        <v>3.8999999999999999E-4</v>
      </c>
      <c r="G20" s="105" t="s">
        <v>22</v>
      </c>
      <c r="I20" s="106">
        <v>28</v>
      </c>
      <c r="J20" s="107">
        <v>1.4</v>
      </c>
      <c r="K20" s="108" t="s">
        <v>91</v>
      </c>
      <c r="L20" s="109">
        <f t="shared" si="2"/>
        <v>1.4E-3</v>
      </c>
      <c r="M20" s="110" t="s">
        <v>22</v>
      </c>
    </row>
    <row r="21" spans="2:19">
      <c r="B21" s="100">
        <v>90</v>
      </c>
      <c r="C21" s="101" t="s">
        <v>22</v>
      </c>
      <c r="D21" s="102">
        <v>0.39</v>
      </c>
      <c r="E21" s="117" t="s">
        <v>90</v>
      </c>
      <c r="F21" s="104">
        <f t="shared" si="0"/>
        <v>3.8999999999999999E-4</v>
      </c>
      <c r="G21" s="105" t="s">
        <v>22</v>
      </c>
      <c r="I21" s="106">
        <v>30</v>
      </c>
      <c r="J21" s="107">
        <v>1.4</v>
      </c>
      <c r="K21" s="108" t="s">
        <v>91</v>
      </c>
      <c r="L21" s="109">
        <f t="shared" si="2"/>
        <v>1.4E-3</v>
      </c>
      <c r="M21" s="110" t="s">
        <v>22</v>
      </c>
    </row>
    <row r="22" spans="2:19">
      <c r="B22" s="100">
        <v>100</v>
      </c>
      <c r="C22" s="101" t="s">
        <v>22</v>
      </c>
      <c r="D22" s="102">
        <v>0.39</v>
      </c>
      <c r="E22" s="117" t="s">
        <v>90</v>
      </c>
      <c r="F22" s="104">
        <f t="shared" si="0"/>
        <v>3.8999999999999999E-4</v>
      </c>
      <c r="G22" s="105" t="s">
        <v>22</v>
      </c>
      <c r="I22" s="116">
        <v>75</v>
      </c>
      <c r="J22" s="107">
        <v>2.8</v>
      </c>
      <c r="K22" s="108" t="s">
        <v>91</v>
      </c>
      <c r="L22" s="109">
        <f t="shared" si="2"/>
        <v>2.8E-3</v>
      </c>
      <c r="M22" s="110" t="s">
        <v>22</v>
      </c>
      <c r="N22" s="118"/>
    </row>
  </sheetData>
  <mergeCells count="12">
    <mergeCell ref="Q6:S6"/>
    <mergeCell ref="B4:G4"/>
    <mergeCell ref="I4:M4"/>
    <mergeCell ref="O4:S4"/>
    <mergeCell ref="B5:G5"/>
    <mergeCell ref="I5:M5"/>
    <mergeCell ref="O5:S5"/>
    <mergeCell ref="B6:D6"/>
    <mergeCell ref="E6:G6"/>
    <mergeCell ref="I6:J6"/>
    <mergeCell ref="K6:M6"/>
    <mergeCell ref="O6:P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L30"/>
  <sheetViews>
    <sheetView view="pageBreakPreview" topLeftCell="A4" zoomScaleNormal="100" zoomScaleSheetLayoutView="100" workbookViewId="0">
      <selection activeCell="W25" sqref="W25:AA30"/>
    </sheetView>
  </sheetViews>
  <sheetFormatPr defaultColWidth="7.5703125" defaultRowHeight="18.75" customHeight="1"/>
  <cols>
    <col min="1" max="31" width="3.85546875" style="1" customWidth="1"/>
    <col min="32" max="33" width="2.85546875" style="1" customWidth="1"/>
    <col min="34" max="34" width="9.5703125" style="1" bestFit="1" customWidth="1"/>
    <col min="35" max="209" width="7.5703125" style="1"/>
    <col min="210" max="210" width="1.5703125" style="1" customWidth="1"/>
    <col min="211" max="214" width="3.5703125" style="1" customWidth="1"/>
    <col min="215" max="218" width="5.42578125" style="1" customWidth="1"/>
    <col min="219" max="234" width="4" style="1" customWidth="1"/>
    <col min="235" max="236" width="3.42578125" style="1" customWidth="1"/>
    <col min="237" max="274" width="3.5703125" style="1" customWidth="1"/>
    <col min="275" max="465" width="7.5703125" style="1"/>
    <col min="466" max="466" width="1.5703125" style="1" customWidth="1"/>
    <col min="467" max="470" width="3.5703125" style="1" customWidth="1"/>
    <col min="471" max="474" width="5.42578125" style="1" customWidth="1"/>
    <col min="475" max="490" width="4" style="1" customWidth="1"/>
    <col min="491" max="492" width="3.42578125" style="1" customWidth="1"/>
    <col min="493" max="530" width="3.5703125" style="1" customWidth="1"/>
    <col min="531" max="721" width="7.5703125" style="1"/>
    <col min="722" max="722" width="1.5703125" style="1" customWidth="1"/>
    <col min="723" max="726" width="3.5703125" style="1" customWidth="1"/>
    <col min="727" max="730" width="5.42578125" style="1" customWidth="1"/>
    <col min="731" max="746" width="4" style="1" customWidth="1"/>
    <col min="747" max="748" width="3.42578125" style="1" customWidth="1"/>
    <col min="749" max="786" width="3.5703125" style="1" customWidth="1"/>
    <col min="787" max="977" width="7.5703125" style="1"/>
    <col min="978" max="978" width="1.5703125" style="1" customWidth="1"/>
    <col min="979" max="982" width="3.5703125" style="1" customWidth="1"/>
    <col min="983" max="986" width="5.42578125" style="1" customWidth="1"/>
    <col min="987" max="1002" width="4" style="1" customWidth="1"/>
    <col min="1003" max="1004" width="3.42578125" style="1" customWidth="1"/>
    <col min="1005" max="1042" width="3.5703125" style="1" customWidth="1"/>
    <col min="1043" max="1233" width="7.5703125" style="1"/>
    <col min="1234" max="1234" width="1.5703125" style="1" customWidth="1"/>
    <col min="1235" max="1238" width="3.5703125" style="1" customWidth="1"/>
    <col min="1239" max="1242" width="5.42578125" style="1" customWidth="1"/>
    <col min="1243" max="1258" width="4" style="1" customWidth="1"/>
    <col min="1259" max="1260" width="3.42578125" style="1" customWidth="1"/>
    <col min="1261" max="1298" width="3.5703125" style="1" customWidth="1"/>
    <col min="1299" max="1489" width="7.5703125" style="1"/>
    <col min="1490" max="1490" width="1.5703125" style="1" customWidth="1"/>
    <col min="1491" max="1494" width="3.5703125" style="1" customWidth="1"/>
    <col min="1495" max="1498" width="5.42578125" style="1" customWidth="1"/>
    <col min="1499" max="1514" width="4" style="1" customWidth="1"/>
    <col min="1515" max="1516" width="3.42578125" style="1" customWidth="1"/>
    <col min="1517" max="1554" width="3.5703125" style="1" customWidth="1"/>
    <col min="1555" max="1745" width="7.5703125" style="1"/>
    <col min="1746" max="1746" width="1.5703125" style="1" customWidth="1"/>
    <col min="1747" max="1750" width="3.5703125" style="1" customWidth="1"/>
    <col min="1751" max="1754" width="5.42578125" style="1" customWidth="1"/>
    <col min="1755" max="1770" width="4" style="1" customWidth="1"/>
    <col min="1771" max="1772" width="3.42578125" style="1" customWidth="1"/>
    <col min="1773" max="1810" width="3.5703125" style="1" customWidth="1"/>
    <col min="1811" max="2001" width="7.5703125" style="1"/>
    <col min="2002" max="2002" width="1.5703125" style="1" customWidth="1"/>
    <col min="2003" max="2006" width="3.5703125" style="1" customWidth="1"/>
    <col min="2007" max="2010" width="5.42578125" style="1" customWidth="1"/>
    <col min="2011" max="2026" width="4" style="1" customWidth="1"/>
    <col min="2027" max="2028" width="3.42578125" style="1" customWidth="1"/>
    <col min="2029" max="2066" width="3.5703125" style="1" customWidth="1"/>
    <col min="2067" max="2257" width="7.5703125" style="1"/>
    <col min="2258" max="2258" width="1.5703125" style="1" customWidth="1"/>
    <col min="2259" max="2262" width="3.5703125" style="1" customWidth="1"/>
    <col min="2263" max="2266" width="5.42578125" style="1" customWidth="1"/>
    <col min="2267" max="2282" width="4" style="1" customWidth="1"/>
    <col min="2283" max="2284" width="3.42578125" style="1" customWidth="1"/>
    <col min="2285" max="2322" width="3.5703125" style="1" customWidth="1"/>
    <col min="2323" max="2513" width="7.5703125" style="1"/>
    <col min="2514" max="2514" width="1.5703125" style="1" customWidth="1"/>
    <col min="2515" max="2518" width="3.5703125" style="1" customWidth="1"/>
    <col min="2519" max="2522" width="5.42578125" style="1" customWidth="1"/>
    <col min="2523" max="2538" width="4" style="1" customWidth="1"/>
    <col min="2539" max="2540" width="3.42578125" style="1" customWidth="1"/>
    <col min="2541" max="2578" width="3.5703125" style="1" customWidth="1"/>
    <col min="2579" max="2769" width="7.5703125" style="1"/>
    <col min="2770" max="2770" width="1.5703125" style="1" customWidth="1"/>
    <col min="2771" max="2774" width="3.5703125" style="1" customWidth="1"/>
    <col min="2775" max="2778" width="5.42578125" style="1" customWidth="1"/>
    <col min="2779" max="2794" width="4" style="1" customWidth="1"/>
    <col min="2795" max="2796" width="3.42578125" style="1" customWidth="1"/>
    <col min="2797" max="2834" width="3.5703125" style="1" customWidth="1"/>
    <col min="2835" max="3025" width="7.5703125" style="1"/>
    <col min="3026" max="3026" width="1.5703125" style="1" customWidth="1"/>
    <col min="3027" max="3030" width="3.5703125" style="1" customWidth="1"/>
    <col min="3031" max="3034" width="5.42578125" style="1" customWidth="1"/>
    <col min="3035" max="3050" width="4" style="1" customWidth="1"/>
    <col min="3051" max="3052" width="3.42578125" style="1" customWidth="1"/>
    <col min="3053" max="3090" width="3.5703125" style="1" customWidth="1"/>
    <col min="3091" max="3281" width="7.5703125" style="1"/>
    <col min="3282" max="3282" width="1.5703125" style="1" customWidth="1"/>
    <col min="3283" max="3286" width="3.5703125" style="1" customWidth="1"/>
    <col min="3287" max="3290" width="5.42578125" style="1" customWidth="1"/>
    <col min="3291" max="3306" width="4" style="1" customWidth="1"/>
    <col min="3307" max="3308" width="3.42578125" style="1" customWidth="1"/>
    <col min="3309" max="3346" width="3.5703125" style="1" customWidth="1"/>
    <col min="3347" max="3537" width="7.5703125" style="1"/>
    <col min="3538" max="3538" width="1.5703125" style="1" customWidth="1"/>
    <col min="3539" max="3542" width="3.5703125" style="1" customWidth="1"/>
    <col min="3543" max="3546" width="5.42578125" style="1" customWidth="1"/>
    <col min="3547" max="3562" width="4" style="1" customWidth="1"/>
    <col min="3563" max="3564" width="3.42578125" style="1" customWidth="1"/>
    <col min="3565" max="3602" width="3.5703125" style="1" customWidth="1"/>
    <col min="3603" max="3793" width="7.5703125" style="1"/>
    <col min="3794" max="3794" width="1.5703125" style="1" customWidth="1"/>
    <col min="3795" max="3798" width="3.5703125" style="1" customWidth="1"/>
    <col min="3799" max="3802" width="5.42578125" style="1" customWidth="1"/>
    <col min="3803" max="3818" width="4" style="1" customWidth="1"/>
    <col min="3819" max="3820" width="3.42578125" style="1" customWidth="1"/>
    <col min="3821" max="3858" width="3.5703125" style="1" customWidth="1"/>
    <col min="3859" max="4049" width="7.5703125" style="1"/>
    <col min="4050" max="4050" width="1.5703125" style="1" customWidth="1"/>
    <col min="4051" max="4054" width="3.5703125" style="1" customWidth="1"/>
    <col min="4055" max="4058" width="5.42578125" style="1" customWidth="1"/>
    <col min="4059" max="4074" width="4" style="1" customWidth="1"/>
    <col min="4075" max="4076" width="3.42578125" style="1" customWidth="1"/>
    <col min="4077" max="4114" width="3.5703125" style="1" customWidth="1"/>
    <col min="4115" max="4305" width="7.5703125" style="1"/>
    <col min="4306" max="4306" width="1.5703125" style="1" customWidth="1"/>
    <col min="4307" max="4310" width="3.5703125" style="1" customWidth="1"/>
    <col min="4311" max="4314" width="5.42578125" style="1" customWidth="1"/>
    <col min="4315" max="4330" width="4" style="1" customWidth="1"/>
    <col min="4331" max="4332" width="3.42578125" style="1" customWidth="1"/>
    <col min="4333" max="4370" width="3.5703125" style="1" customWidth="1"/>
    <col min="4371" max="4561" width="7.5703125" style="1"/>
    <col min="4562" max="4562" width="1.5703125" style="1" customWidth="1"/>
    <col min="4563" max="4566" width="3.5703125" style="1" customWidth="1"/>
    <col min="4567" max="4570" width="5.42578125" style="1" customWidth="1"/>
    <col min="4571" max="4586" width="4" style="1" customWidth="1"/>
    <col min="4587" max="4588" width="3.42578125" style="1" customWidth="1"/>
    <col min="4589" max="4626" width="3.5703125" style="1" customWidth="1"/>
    <col min="4627" max="4817" width="7.5703125" style="1"/>
    <col min="4818" max="4818" width="1.5703125" style="1" customWidth="1"/>
    <col min="4819" max="4822" width="3.5703125" style="1" customWidth="1"/>
    <col min="4823" max="4826" width="5.42578125" style="1" customWidth="1"/>
    <col min="4827" max="4842" width="4" style="1" customWidth="1"/>
    <col min="4843" max="4844" width="3.42578125" style="1" customWidth="1"/>
    <col min="4845" max="4882" width="3.5703125" style="1" customWidth="1"/>
    <col min="4883" max="5073" width="7.5703125" style="1"/>
    <col min="5074" max="5074" width="1.5703125" style="1" customWidth="1"/>
    <col min="5075" max="5078" width="3.5703125" style="1" customWidth="1"/>
    <col min="5079" max="5082" width="5.42578125" style="1" customWidth="1"/>
    <col min="5083" max="5098" width="4" style="1" customWidth="1"/>
    <col min="5099" max="5100" width="3.42578125" style="1" customWidth="1"/>
    <col min="5101" max="5138" width="3.5703125" style="1" customWidth="1"/>
    <col min="5139" max="5329" width="7.5703125" style="1"/>
    <col min="5330" max="5330" width="1.5703125" style="1" customWidth="1"/>
    <col min="5331" max="5334" width="3.5703125" style="1" customWidth="1"/>
    <col min="5335" max="5338" width="5.42578125" style="1" customWidth="1"/>
    <col min="5339" max="5354" width="4" style="1" customWidth="1"/>
    <col min="5355" max="5356" width="3.42578125" style="1" customWidth="1"/>
    <col min="5357" max="5394" width="3.5703125" style="1" customWidth="1"/>
    <col min="5395" max="5585" width="7.5703125" style="1"/>
    <col min="5586" max="5586" width="1.5703125" style="1" customWidth="1"/>
    <col min="5587" max="5590" width="3.5703125" style="1" customWidth="1"/>
    <col min="5591" max="5594" width="5.42578125" style="1" customWidth="1"/>
    <col min="5595" max="5610" width="4" style="1" customWidth="1"/>
    <col min="5611" max="5612" width="3.42578125" style="1" customWidth="1"/>
    <col min="5613" max="5650" width="3.5703125" style="1" customWidth="1"/>
    <col min="5651" max="5841" width="7.5703125" style="1"/>
    <col min="5842" max="5842" width="1.5703125" style="1" customWidth="1"/>
    <col min="5843" max="5846" width="3.5703125" style="1" customWidth="1"/>
    <col min="5847" max="5850" width="5.42578125" style="1" customWidth="1"/>
    <col min="5851" max="5866" width="4" style="1" customWidth="1"/>
    <col min="5867" max="5868" width="3.42578125" style="1" customWidth="1"/>
    <col min="5869" max="5906" width="3.5703125" style="1" customWidth="1"/>
    <col min="5907" max="6097" width="7.5703125" style="1"/>
    <col min="6098" max="6098" width="1.5703125" style="1" customWidth="1"/>
    <col min="6099" max="6102" width="3.5703125" style="1" customWidth="1"/>
    <col min="6103" max="6106" width="5.42578125" style="1" customWidth="1"/>
    <col min="6107" max="6122" width="4" style="1" customWidth="1"/>
    <col min="6123" max="6124" width="3.42578125" style="1" customWidth="1"/>
    <col min="6125" max="6162" width="3.5703125" style="1" customWidth="1"/>
    <col min="6163" max="6353" width="7.5703125" style="1"/>
    <col min="6354" max="6354" width="1.5703125" style="1" customWidth="1"/>
    <col min="6355" max="6358" width="3.5703125" style="1" customWidth="1"/>
    <col min="6359" max="6362" width="5.42578125" style="1" customWidth="1"/>
    <col min="6363" max="6378" width="4" style="1" customWidth="1"/>
    <col min="6379" max="6380" width="3.42578125" style="1" customWidth="1"/>
    <col min="6381" max="6418" width="3.5703125" style="1" customWidth="1"/>
    <col min="6419" max="6609" width="7.5703125" style="1"/>
    <col min="6610" max="6610" width="1.5703125" style="1" customWidth="1"/>
    <col min="6611" max="6614" width="3.5703125" style="1" customWidth="1"/>
    <col min="6615" max="6618" width="5.42578125" style="1" customWidth="1"/>
    <col min="6619" max="6634" width="4" style="1" customWidth="1"/>
    <col min="6635" max="6636" width="3.42578125" style="1" customWidth="1"/>
    <col min="6637" max="6674" width="3.5703125" style="1" customWidth="1"/>
    <col min="6675" max="6865" width="7.5703125" style="1"/>
    <col min="6866" max="6866" width="1.5703125" style="1" customWidth="1"/>
    <col min="6867" max="6870" width="3.5703125" style="1" customWidth="1"/>
    <col min="6871" max="6874" width="5.42578125" style="1" customWidth="1"/>
    <col min="6875" max="6890" width="4" style="1" customWidth="1"/>
    <col min="6891" max="6892" width="3.42578125" style="1" customWidth="1"/>
    <col min="6893" max="6930" width="3.5703125" style="1" customWidth="1"/>
    <col min="6931" max="7121" width="7.5703125" style="1"/>
    <col min="7122" max="7122" width="1.5703125" style="1" customWidth="1"/>
    <col min="7123" max="7126" width="3.5703125" style="1" customWidth="1"/>
    <col min="7127" max="7130" width="5.42578125" style="1" customWidth="1"/>
    <col min="7131" max="7146" width="4" style="1" customWidth="1"/>
    <col min="7147" max="7148" width="3.42578125" style="1" customWidth="1"/>
    <col min="7149" max="7186" width="3.5703125" style="1" customWidth="1"/>
    <col min="7187" max="7377" width="7.5703125" style="1"/>
    <col min="7378" max="7378" width="1.5703125" style="1" customWidth="1"/>
    <col min="7379" max="7382" width="3.5703125" style="1" customWidth="1"/>
    <col min="7383" max="7386" width="5.42578125" style="1" customWidth="1"/>
    <col min="7387" max="7402" width="4" style="1" customWidth="1"/>
    <col min="7403" max="7404" width="3.42578125" style="1" customWidth="1"/>
    <col min="7405" max="7442" width="3.5703125" style="1" customWidth="1"/>
    <col min="7443" max="7633" width="7.5703125" style="1"/>
    <col min="7634" max="7634" width="1.5703125" style="1" customWidth="1"/>
    <col min="7635" max="7638" width="3.5703125" style="1" customWidth="1"/>
    <col min="7639" max="7642" width="5.42578125" style="1" customWidth="1"/>
    <col min="7643" max="7658" width="4" style="1" customWidth="1"/>
    <col min="7659" max="7660" width="3.42578125" style="1" customWidth="1"/>
    <col min="7661" max="7698" width="3.5703125" style="1" customWidth="1"/>
    <col min="7699" max="7889" width="7.5703125" style="1"/>
    <col min="7890" max="7890" width="1.5703125" style="1" customWidth="1"/>
    <col min="7891" max="7894" width="3.5703125" style="1" customWidth="1"/>
    <col min="7895" max="7898" width="5.42578125" style="1" customWidth="1"/>
    <col min="7899" max="7914" width="4" style="1" customWidth="1"/>
    <col min="7915" max="7916" width="3.42578125" style="1" customWidth="1"/>
    <col min="7917" max="7954" width="3.5703125" style="1" customWidth="1"/>
    <col min="7955" max="8145" width="7.5703125" style="1"/>
    <col min="8146" max="8146" width="1.5703125" style="1" customWidth="1"/>
    <col min="8147" max="8150" width="3.5703125" style="1" customWidth="1"/>
    <col min="8151" max="8154" width="5.42578125" style="1" customWidth="1"/>
    <col min="8155" max="8170" width="4" style="1" customWidth="1"/>
    <col min="8171" max="8172" width="3.42578125" style="1" customWidth="1"/>
    <col min="8173" max="8210" width="3.5703125" style="1" customWidth="1"/>
    <col min="8211" max="8401" width="7.5703125" style="1"/>
    <col min="8402" max="8402" width="1.5703125" style="1" customWidth="1"/>
    <col min="8403" max="8406" width="3.5703125" style="1" customWidth="1"/>
    <col min="8407" max="8410" width="5.42578125" style="1" customWidth="1"/>
    <col min="8411" max="8426" width="4" style="1" customWidth="1"/>
    <col min="8427" max="8428" width="3.42578125" style="1" customWidth="1"/>
    <col min="8429" max="8466" width="3.5703125" style="1" customWidth="1"/>
    <col min="8467" max="8657" width="7.5703125" style="1"/>
    <col min="8658" max="8658" width="1.5703125" style="1" customWidth="1"/>
    <col min="8659" max="8662" width="3.5703125" style="1" customWidth="1"/>
    <col min="8663" max="8666" width="5.42578125" style="1" customWidth="1"/>
    <col min="8667" max="8682" width="4" style="1" customWidth="1"/>
    <col min="8683" max="8684" width="3.42578125" style="1" customWidth="1"/>
    <col min="8685" max="8722" width="3.5703125" style="1" customWidth="1"/>
    <col min="8723" max="8913" width="7.5703125" style="1"/>
    <col min="8914" max="8914" width="1.5703125" style="1" customWidth="1"/>
    <col min="8915" max="8918" width="3.5703125" style="1" customWidth="1"/>
    <col min="8919" max="8922" width="5.42578125" style="1" customWidth="1"/>
    <col min="8923" max="8938" width="4" style="1" customWidth="1"/>
    <col min="8939" max="8940" width="3.42578125" style="1" customWidth="1"/>
    <col min="8941" max="8978" width="3.5703125" style="1" customWidth="1"/>
    <col min="8979" max="9169" width="7.5703125" style="1"/>
    <col min="9170" max="9170" width="1.5703125" style="1" customWidth="1"/>
    <col min="9171" max="9174" width="3.5703125" style="1" customWidth="1"/>
    <col min="9175" max="9178" width="5.42578125" style="1" customWidth="1"/>
    <col min="9179" max="9194" width="4" style="1" customWidth="1"/>
    <col min="9195" max="9196" width="3.42578125" style="1" customWidth="1"/>
    <col min="9197" max="9234" width="3.5703125" style="1" customWidth="1"/>
    <col min="9235" max="9425" width="7.5703125" style="1"/>
    <col min="9426" max="9426" width="1.5703125" style="1" customWidth="1"/>
    <col min="9427" max="9430" width="3.5703125" style="1" customWidth="1"/>
    <col min="9431" max="9434" width="5.42578125" style="1" customWidth="1"/>
    <col min="9435" max="9450" width="4" style="1" customWidth="1"/>
    <col min="9451" max="9452" width="3.42578125" style="1" customWidth="1"/>
    <col min="9453" max="9490" width="3.5703125" style="1" customWidth="1"/>
    <col min="9491" max="9681" width="7.5703125" style="1"/>
    <col min="9682" max="9682" width="1.5703125" style="1" customWidth="1"/>
    <col min="9683" max="9686" width="3.5703125" style="1" customWidth="1"/>
    <col min="9687" max="9690" width="5.42578125" style="1" customWidth="1"/>
    <col min="9691" max="9706" width="4" style="1" customWidth="1"/>
    <col min="9707" max="9708" width="3.42578125" style="1" customWidth="1"/>
    <col min="9709" max="9746" width="3.5703125" style="1" customWidth="1"/>
    <col min="9747" max="9937" width="7.5703125" style="1"/>
    <col min="9938" max="9938" width="1.5703125" style="1" customWidth="1"/>
    <col min="9939" max="9942" width="3.5703125" style="1" customWidth="1"/>
    <col min="9943" max="9946" width="5.42578125" style="1" customWidth="1"/>
    <col min="9947" max="9962" width="4" style="1" customWidth="1"/>
    <col min="9963" max="9964" width="3.42578125" style="1" customWidth="1"/>
    <col min="9965" max="10002" width="3.5703125" style="1" customWidth="1"/>
    <col min="10003" max="10193" width="7.5703125" style="1"/>
    <col min="10194" max="10194" width="1.5703125" style="1" customWidth="1"/>
    <col min="10195" max="10198" width="3.5703125" style="1" customWidth="1"/>
    <col min="10199" max="10202" width="5.42578125" style="1" customWidth="1"/>
    <col min="10203" max="10218" width="4" style="1" customWidth="1"/>
    <col min="10219" max="10220" width="3.42578125" style="1" customWidth="1"/>
    <col min="10221" max="10258" width="3.5703125" style="1" customWidth="1"/>
    <col min="10259" max="10449" width="7.5703125" style="1"/>
    <col min="10450" max="10450" width="1.5703125" style="1" customWidth="1"/>
    <col min="10451" max="10454" width="3.5703125" style="1" customWidth="1"/>
    <col min="10455" max="10458" width="5.42578125" style="1" customWidth="1"/>
    <col min="10459" max="10474" width="4" style="1" customWidth="1"/>
    <col min="10475" max="10476" width="3.42578125" style="1" customWidth="1"/>
    <col min="10477" max="10514" width="3.5703125" style="1" customWidth="1"/>
    <col min="10515" max="10705" width="7.5703125" style="1"/>
    <col min="10706" max="10706" width="1.5703125" style="1" customWidth="1"/>
    <col min="10707" max="10710" width="3.5703125" style="1" customWidth="1"/>
    <col min="10711" max="10714" width="5.42578125" style="1" customWidth="1"/>
    <col min="10715" max="10730" width="4" style="1" customWidth="1"/>
    <col min="10731" max="10732" width="3.42578125" style="1" customWidth="1"/>
    <col min="10733" max="10770" width="3.5703125" style="1" customWidth="1"/>
    <col min="10771" max="10961" width="7.5703125" style="1"/>
    <col min="10962" max="10962" width="1.5703125" style="1" customWidth="1"/>
    <col min="10963" max="10966" width="3.5703125" style="1" customWidth="1"/>
    <col min="10967" max="10970" width="5.42578125" style="1" customWidth="1"/>
    <col min="10971" max="10986" width="4" style="1" customWidth="1"/>
    <col min="10987" max="10988" width="3.42578125" style="1" customWidth="1"/>
    <col min="10989" max="11026" width="3.5703125" style="1" customWidth="1"/>
    <col min="11027" max="11217" width="7.5703125" style="1"/>
    <col min="11218" max="11218" width="1.5703125" style="1" customWidth="1"/>
    <col min="11219" max="11222" width="3.5703125" style="1" customWidth="1"/>
    <col min="11223" max="11226" width="5.42578125" style="1" customWidth="1"/>
    <col min="11227" max="11242" width="4" style="1" customWidth="1"/>
    <col min="11243" max="11244" width="3.42578125" style="1" customWidth="1"/>
    <col min="11245" max="11282" width="3.5703125" style="1" customWidth="1"/>
    <col min="11283" max="11473" width="7.5703125" style="1"/>
    <col min="11474" max="11474" width="1.5703125" style="1" customWidth="1"/>
    <col min="11475" max="11478" width="3.5703125" style="1" customWidth="1"/>
    <col min="11479" max="11482" width="5.42578125" style="1" customWidth="1"/>
    <col min="11483" max="11498" width="4" style="1" customWidth="1"/>
    <col min="11499" max="11500" width="3.42578125" style="1" customWidth="1"/>
    <col min="11501" max="11538" width="3.5703125" style="1" customWidth="1"/>
    <col min="11539" max="11729" width="7.5703125" style="1"/>
    <col min="11730" max="11730" width="1.5703125" style="1" customWidth="1"/>
    <col min="11731" max="11734" width="3.5703125" style="1" customWidth="1"/>
    <col min="11735" max="11738" width="5.42578125" style="1" customWidth="1"/>
    <col min="11739" max="11754" width="4" style="1" customWidth="1"/>
    <col min="11755" max="11756" width="3.42578125" style="1" customWidth="1"/>
    <col min="11757" max="11794" width="3.5703125" style="1" customWidth="1"/>
    <col min="11795" max="11985" width="7.5703125" style="1"/>
    <col min="11986" max="11986" width="1.5703125" style="1" customWidth="1"/>
    <col min="11987" max="11990" width="3.5703125" style="1" customWidth="1"/>
    <col min="11991" max="11994" width="5.42578125" style="1" customWidth="1"/>
    <col min="11995" max="12010" width="4" style="1" customWidth="1"/>
    <col min="12011" max="12012" width="3.42578125" style="1" customWidth="1"/>
    <col min="12013" max="12050" width="3.5703125" style="1" customWidth="1"/>
    <col min="12051" max="12241" width="7.5703125" style="1"/>
    <col min="12242" max="12242" width="1.5703125" style="1" customWidth="1"/>
    <col min="12243" max="12246" width="3.5703125" style="1" customWidth="1"/>
    <col min="12247" max="12250" width="5.42578125" style="1" customWidth="1"/>
    <col min="12251" max="12266" width="4" style="1" customWidth="1"/>
    <col min="12267" max="12268" width="3.42578125" style="1" customWidth="1"/>
    <col min="12269" max="12306" width="3.5703125" style="1" customWidth="1"/>
    <col min="12307" max="12497" width="7.5703125" style="1"/>
    <col min="12498" max="12498" width="1.5703125" style="1" customWidth="1"/>
    <col min="12499" max="12502" width="3.5703125" style="1" customWidth="1"/>
    <col min="12503" max="12506" width="5.42578125" style="1" customWidth="1"/>
    <col min="12507" max="12522" width="4" style="1" customWidth="1"/>
    <col min="12523" max="12524" width="3.42578125" style="1" customWidth="1"/>
    <col min="12525" max="12562" width="3.5703125" style="1" customWidth="1"/>
    <col min="12563" max="12753" width="7.5703125" style="1"/>
    <col min="12754" max="12754" width="1.5703125" style="1" customWidth="1"/>
    <col min="12755" max="12758" width="3.5703125" style="1" customWidth="1"/>
    <col min="12759" max="12762" width="5.42578125" style="1" customWidth="1"/>
    <col min="12763" max="12778" width="4" style="1" customWidth="1"/>
    <col min="12779" max="12780" width="3.42578125" style="1" customWidth="1"/>
    <col min="12781" max="12818" width="3.5703125" style="1" customWidth="1"/>
    <col min="12819" max="13009" width="7.5703125" style="1"/>
    <col min="13010" max="13010" width="1.5703125" style="1" customWidth="1"/>
    <col min="13011" max="13014" width="3.5703125" style="1" customWidth="1"/>
    <col min="13015" max="13018" width="5.42578125" style="1" customWidth="1"/>
    <col min="13019" max="13034" width="4" style="1" customWidth="1"/>
    <col min="13035" max="13036" width="3.42578125" style="1" customWidth="1"/>
    <col min="13037" max="13074" width="3.5703125" style="1" customWidth="1"/>
    <col min="13075" max="13265" width="7.5703125" style="1"/>
    <col min="13266" max="13266" width="1.5703125" style="1" customWidth="1"/>
    <col min="13267" max="13270" width="3.5703125" style="1" customWidth="1"/>
    <col min="13271" max="13274" width="5.42578125" style="1" customWidth="1"/>
    <col min="13275" max="13290" width="4" style="1" customWidth="1"/>
    <col min="13291" max="13292" width="3.42578125" style="1" customWidth="1"/>
    <col min="13293" max="13330" width="3.5703125" style="1" customWidth="1"/>
    <col min="13331" max="13521" width="7.5703125" style="1"/>
    <col min="13522" max="13522" width="1.5703125" style="1" customWidth="1"/>
    <col min="13523" max="13526" width="3.5703125" style="1" customWidth="1"/>
    <col min="13527" max="13530" width="5.42578125" style="1" customWidth="1"/>
    <col min="13531" max="13546" width="4" style="1" customWidth="1"/>
    <col min="13547" max="13548" width="3.42578125" style="1" customWidth="1"/>
    <col min="13549" max="13586" width="3.5703125" style="1" customWidth="1"/>
    <col min="13587" max="13777" width="7.5703125" style="1"/>
    <col min="13778" max="13778" width="1.5703125" style="1" customWidth="1"/>
    <col min="13779" max="13782" width="3.5703125" style="1" customWidth="1"/>
    <col min="13783" max="13786" width="5.42578125" style="1" customWidth="1"/>
    <col min="13787" max="13802" width="4" style="1" customWidth="1"/>
    <col min="13803" max="13804" width="3.42578125" style="1" customWidth="1"/>
    <col min="13805" max="13842" width="3.5703125" style="1" customWidth="1"/>
    <col min="13843" max="14033" width="7.5703125" style="1"/>
    <col min="14034" max="14034" width="1.5703125" style="1" customWidth="1"/>
    <col min="14035" max="14038" width="3.5703125" style="1" customWidth="1"/>
    <col min="14039" max="14042" width="5.42578125" style="1" customWidth="1"/>
    <col min="14043" max="14058" width="4" style="1" customWidth="1"/>
    <col min="14059" max="14060" width="3.42578125" style="1" customWidth="1"/>
    <col min="14061" max="14098" width="3.5703125" style="1" customWidth="1"/>
    <col min="14099" max="14289" width="7.5703125" style="1"/>
    <col min="14290" max="14290" width="1.5703125" style="1" customWidth="1"/>
    <col min="14291" max="14294" width="3.5703125" style="1" customWidth="1"/>
    <col min="14295" max="14298" width="5.42578125" style="1" customWidth="1"/>
    <col min="14299" max="14314" width="4" style="1" customWidth="1"/>
    <col min="14315" max="14316" width="3.42578125" style="1" customWidth="1"/>
    <col min="14317" max="14354" width="3.5703125" style="1" customWidth="1"/>
    <col min="14355" max="14545" width="7.5703125" style="1"/>
    <col min="14546" max="14546" width="1.5703125" style="1" customWidth="1"/>
    <col min="14547" max="14550" width="3.5703125" style="1" customWidth="1"/>
    <col min="14551" max="14554" width="5.42578125" style="1" customWidth="1"/>
    <col min="14555" max="14570" width="4" style="1" customWidth="1"/>
    <col min="14571" max="14572" width="3.42578125" style="1" customWidth="1"/>
    <col min="14573" max="14610" width="3.5703125" style="1" customWidth="1"/>
    <col min="14611" max="14801" width="7.5703125" style="1"/>
    <col min="14802" max="14802" width="1.5703125" style="1" customWidth="1"/>
    <col min="14803" max="14806" width="3.5703125" style="1" customWidth="1"/>
    <col min="14807" max="14810" width="5.42578125" style="1" customWidth="1"/>
    <col min="14811" max="14826" width="4" style="1" customWidth="1"/>
    <col min="14827" max="14828" width="3.42578125" style="1" customWidth="1"/>
    <col min="14829" max="14866" width="3.5703125" style="1" customWidth="1"/>
    <col min="14867" max="15057" width="7.5703125" style="1"/>
    <col min="15058" max="15058" width="1.5703125" style="1" customWidth="1"/>
    <col min="15059" max="15062" width="3.5703125" style="1" customWidth="1"/>
    <col min="15063" max="15066" width="5.42578125" style="1" customWidth="1"/>
    <col min="15067" max="15082" width="4" style="1" customWidth="1"/>
    <col min="15083" max="15084" width="3.42578125" style="1" customWidth="1"/>
    <col min="15085" max="15122" width="3.5703125" style="1" customWidth="1"/>
    <col min="15123" max="15313" width="7.5703125" style="1"/>
    <col min="15314" max="15314" width="1.5703125" style="1" customWidth="1"/>
    <col min="15315" max="15318" width="3.5703125" style="1" customWidth="1"/>
    <col min="15319" max="15322" width="5.42578125" style="1" customWidth="1"/>
    <col min="15323" max="15338" width="4" style="1" customWidth="1"/>
    <col min="15339" max="15340" width="3.42578125" style="1" customWidth="1"/>
    <col min="15341" max="15378" width="3.5703125" style="1" customWidth="1"/>
    <col min="15379" max="15569" width="7.5703125" style="1"/>
    <col min="15570" max="15570" width="1.5703125" style="1" customWidth="1"/>
    <col min="15571" max="15574" width="3.5703125" style="1" customWidth="1"/>
    <col min="15575" max="15578" width="5.42578125" style="1" customWidth="1"/>
    <col min="15579" max="15594" width="4" style="1" customWidth="1"/>
    <col min="15595" max="15596" width="3.42578125" style="1" customWidth="1"/>
    <col min="15597" max="15634" width="3.5703125" style="1" customWidth="1"/>
    <col min="15635" max="15825" width="7.5703125" style="1"/>
    <col min="15826" max="15826" width="1.5703125" style="1" customWidth="1"/>
    <col min="15827" max="15830" width="3.5703125" style="1" customWidth="1"/>
    <col min="15831" max="15834" width="5.42578125" style="1" customWidth="1"/>
    <col min="15835" max="15850" width="4" style="1" customWidth="1"/>
    <col min="15851" max="15852" width="3.42578125" style="1" customWidth="1"/>
    <col min="15853" max="15890" width="3.5703125" style="1" customWidth="1"/>
    <col min="15891" max="16081" width="7.5703125" style="1"/>
    <col min="16082" max="16082" width="1.5703125" style="1" customWidth="1"/>
    <col min="16083" max="16086" width="3.5703125" style="1" customWidth="1"/>
    <col min="16087" max="16090" width="5.42578125" style="1" customWidth="1"/>
    <col min="16091" max="16106" width="4" style="1" customWidth="1"/>
    <col min="16107" max="16108" width="3.42578125" style="1" customWidth="1"/>
    <col min="16109" max="16146" width="3.5703125" style="1" customWidth="1"/>
    <col min="16147" max="16384" width="7.5703125" style="1"/>
  </cols>
  <sheetData>
    <row r="1" spans="1:38" ht="21.75">
      <c r="A1" s="324" t="s">
        <v>0</v>
      </c>
      <c r="B1" s="324"/>
      <c r="C1" s="324"/>
      <c r="D1" s="324"/>
      <c r="E1" s="324"/>
      <c r="F1" s="324"/>
      <c r="G1" s="324"/>
      <c r="H1" s="324"/>
      <c r="I1" s="324"/>
      <c r="J1" s="238" t="s">
        <v>1</v>
      </c>
      <c r="M1" s="238"/>
      <c r="N1" s="398" t="s">
        <v>137</v>
      </c>
      <c r="O1" s="398"/>
      <c r="P1" s="398"/>
      <c r="Q1" s="398"/>
      <c r="R1" s="398"/>
      <c r="S1" s="239"/>
      <c r="T1" s="239"/>
      <c r="U1" s="239"/>
      <c r="V1" s="239"/>
      <c r="W1" s="239"/>
      <c r="X1" s="239"/>
      <c r="Y1" s="239"/>
      <c r="Z1" s="239" t="s">
        <v>138</v>
      </c>
      <c r="AA1" s="239"/>
      <c r="AB1" s="266">
        <v>1</v>
      </c>
      <c r="AC1" s="267" t="s">
        <v>139</v>
      </c>
      <c r="AD1" s="267">
        <v>1</v>
      </c>
      <c r="AE1" s="4"/>
      <c r="AF1" s="4"/>
      <c r="AG1" s="4"/>
      <c r="AH1" s="5"/>
    </row>
    <row r="2" spans="1:38" ht="21.75">
      <c r="A2" s="324"/>
      <c r="B2" s="324"/>
      <c r="C2" s="324"/>
      <c r="D2" s="324"/>
      <c r="E2" s="324"/>
      <c r="F2" s="324"/>
      <c r="G2" s="324"/>
      <c r="H2" s="324"/>
      <c r="I2" s="324"/>
      <c r="J2" s="239" t="s">
        <v>2</v>
      </c>
      <c r="K2" s="2"/>
      <c r="M2" s="238"/>
      <c r="N2" s="331">
        <v>42355</v>
      </c>
      <c r="O2" s="331"/>
      <c r="P2" s="331"/>
      <c r="Q2" s="331"/>
      <c r="R2" s="331"/>
      <c r="S2" s="239" t="s">
        <v>3</v>
      </c>
      <c r="T2" s="239"/>
      <c r="V2" s="238"/>
      <c r="W2" s="318">
        <v>42358</v>
      </c>
      <c r="X2" s="318"/>
      <c r="Y2" s="318"/>
      <c r="Z2" s="318"/>
      <c r="AA2" s="318"/>
      <c r="AB2" s="239"/>
      <c r="AC2" s="239"/>
      <c r="AD2" s="239"/>
      <c r="AE2" s="4"/>
      <c r="AF2" s="4"/>
      <c r="AG2" s="4"/>
      <c r="AH2" s="5"/>
      <c r="AJ2" s="7"/>
    </row>
    <row r="3" spans="1:38" ht="21.75">
      <c r="A3" s="325" t="s">
        <v>140</v>
      </c>
      <c r="B3" s="325"/>
      <c r="C3" s="325"/>
      <c r="D3" s="325"/>
      <c r="E3" s="325"/>
      <c r="F3" s="325"/>
      <c r="G3" s="325"/>
      <c r="H3" s="325"/>
      <c r="I3" s="325"/>
      <c r="J3" s="238" t="s">
        <v>5</v>
      </c>
      <c r="M3" s="238"/>
      <c r="N3" s="238"/>
      <c r="O3" s="249">
        <v>20</v>
      </c>
      <c r="P3" s="240" t="s">
        <v>141</v>
      </c>
      <c r="Q3" s="249">
        <v>50</v>
      </c>
      <c r="R3" s="241" t="s">
        <v>6</v>
      </c>
      <c r="T3" s="239"/>
      <c r="W3" s="238"/>
      <c r="X3" s="238"/>
      <c r="Y3" s="238"/>
      <c r="Z3" s="238"/>
      <c r="AA3" s="238"/>
      <c r="AB3" s="238"/>
      <c r="AC3" s="238"/>
      <c r="AD3" s="238"/>
      <c r="AE3" s="2"/>
      <c r="AF3" s="2"/>
      <c r="AG3" s="2"/>
      <c r="AH3" s="5"/>
      <c r="AJ3" s="7"/>
    </row>
    <row r="4" spans="1:38" ht="21.75">
      <c r="A4" s="326" t="s">
        <v>147</v>
      </c>
      <c r="B4" s="326"/>
      <c r="C4" s="326"/>
      <c r="D4" s="326"/>
      <c r="E4" s="326"/>
      <c r="F4" s="326"/>
      <c r="G4" s="326"/>
      <c r="H4" s="326"/>
      <c r="I4" s="326"/>
      <c r="J4" s="238" t="s">
        <v>142</v>
      </c>
      <c r="M4" s="238"/>
      <c r="N4" s="238"/>
      <c r="O4" s="238" t="s">
        <v>4</v>
      </c>
      <c r="P4" s="238"/>
      <c r="R4" s="238"/>
      <c r="S4" s="238"/>
      <c r="T4" s="238" t="s">
        <v>7</v>
      </c>
      <c r="U4" s="238"/>
      <c r="V4" s="238"/>
      <c r="W4" s="238"/>
      <c r="X4" s="238"/>
      <c r="Z4" s="238"/>
      <c r="AA4" s="238"/>
      <c r="AB4" s="238"/>
      <c r="AC4" s="238"/>
      <c r="AD4" s="238"/>
      <c r="AE4" s="2"/>
      <c r="AF4" s="2"/>
      <c r="AG4" s="2"/>
      <c r="AH4" s="5"/>
      <c r="AJ4" s="7"/>
    </row>
    <row r="5" spans="1:38" s="5" customFormat="1" ht="23.1" customHeight="1">
      <c r="A5" s="269" t="s">
        <v>8</v>
      </c>
      <c r="B5" s="269"/>
      <c r="C5" s="269"/>
      <c r="D5" s="269"/>
      <c r="E5" s="269"/>
      <c r="F5" s="319" t="s">
        <v>96</v>
      </c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9"/>
      <c r="T5" s="319"/>
      <c r="U5" s="269"/>
      <c r="V5" s="269"/>
      <c r="W5" s="269"/>
      <c r="X5" s="269"/>
      <c r="Y5" s="269"/>
      <c r="Z5" s="269"/>
      <c r="AA5" s="269"/>
      <c r="AB5" s="269"/>
      <c r="AC5" s="269"/>
      <c r="AD5" s="242"/>
      <c r="AJ5" s="7"/>
    </row>
    <row r="6" spans="1:38" s="5" customFormat="1" ht="23.1" customHeight="1">
      <c r="A6" s="269" t="s">
        <v>143</v>
      </c>
      <c r="B6" s="269"/>
      <c r="C6" s="269"/>
      <c r="D6" s="269"/>
      <c r="E6" s="269"/>
      <c r="F6" s="320" t="s">
        <v>147</v>
      </c>
      <c r="G6" s="320"/>
      <c r="H6" s="320"/>
      <c r="I6" s="320"/>
      <c r="J6" s="320"/>
      <c r="K6" s="320"/>
      <c r="L6" s="320"/>
      <c r="M6" s="250" t="s">
        <v>9</v>
      </c>
      <c r="N6" s="250"/>
      <c r="O6" s="250"/>
      <c r="Q6" s="319" t="s">
        <v>148</v>
      </c>
      <c r="R6" s="319"/>
      <c r="S6" s="319"/>
      <c r="T6" s="319"/>
      <c r="U6" s="319"/>
      <c r="V6" s="269" t="s">
        <v>10</v>
      </c>
      <c r="W6" s="269"/>
      <c r="X6" s="319" t="s">
        <v>179</v>
      </c>
      <c r="Y6" s="319"/>
      <c r="Z6" s="319"/>
      <c r="AA6" s="319"/>
      <c r="AB6" s="319"/>
      <c r="AC6" s="269"/>
      <c r="AD6" s="242"/>
      <c r="AH6" s="6"/>
      <c r="AI6" s="6"/>
      <c r="AJ6" s="7"/>
    </row>
    <row r="7" spans="1:38" s="5" customFormat="1" ht="23.1" customHeight="1">
      <c r="A7" s="269" t="s">
        <v>11</v>
      </c>
      <c r="B7" s="270"/>
      <c r="C7" s="270"/>
      <c r="D7" s="321">
        <v>123</v>
      </c>
      <c r="E7" s="321"/>
      <c r="F7" s="321"/>
      <c r="G7" s="321"/>
      <c r="H7" s="321"/>
      <c r="I7" s="269" t="s">
        <v>12</v>
      </c>
      <c r="J7" s="272"/>
      <c r="K7" s="321"/>
      <c r="L7" s="321"/>
      <c r="M7" s="321"/>
      <c r="N7" s="321"/>
      <c r="O7" s="273"/>
      <c r="P7" s="273"/>
      <c r="Q7" s="273"/>
      <c r="R7" s="273"/>
      <c r="S7" s="273"/>
      <c r="T7" s="273"/>
      <c r="U7" s="273"/>
      <c r="V7" s="273"/>
      <c r="W7" s="274"/>
      <c r="X7" s="269"/>
      <c r="Y7" s="269"/>
      <c r="Z7" s="269"/>
      <c r="AA7" s="269"/>
      <c r="AB7" s="269"/>
      <c r="AC7" s="269"/>
      <c r="AD7" s="242"/>
      <c r="AE7" s="11"/>
      <c r="AF7" s="11"/>
      <c r="AH7" s="6"/>
      <c r="AI7" s="6"/>
      <c r="AJ7" s="7"/>
    </row>
    <row r="8" spans="1:38" s="5" customFormat="1" ht="23.1" customHeight="1">
      <c r="A8" s="269" t="s">
        <v>192</v>
      </c>
      <c r="B8" s="270"/>
      <c r="C8" s="270"/>
      <c r="D8" s="273"/>
      <c r="E8" s="273"/>
      <c r="F8" s="273"/>
      <c r="G8" s="273"/>
      <c r="H8" s="273"/>
      <c r="I8" s="323"/>
      <c r="J8" s="323"/>
      <c r="K8" s="323"/>
      <c r="L8" s="323"/>
      <c r="M8" s="323"/>
      <c r="N8" s="323"/>
      <c r="O8" s="273" t="s">
        <v>193</v>
      </c>
      <c r="P8" s="273"/>
      <c r="Q8" s="273"/>
      <c r="R8" s="323"/>
      <c r="S8" s="323"/>
      <c r="T8" s="323"/>
      <c r="U8" s="323"/>
      <c r="V8" s="323"/>
      <c r="W8" s="323"/>
      <c r="X8" s="268" t="s">
        <v>194</v>
      </c>
      <c r="Y8" s="273" t="s">
        <v>193</v>
      </c>
      <c r="Z8" s="269"/>
      <c r="AA8" s="269"/>
      <c r="AB8" s="269"/>
      <c r="AC8" s="269"/>
      <c r="AD8" s="242"/>
      <c r="AE8" s="11"/>
      <c r="AF8" s="11"/>
      <c r="AH8" s="6"/>
      <c r="AI8" s="6"/>
      <c r="AJ8" s="7"/>
    </row>
    <row r="9" spans="1:38" s="5" customFormat="1" ht="23.1" customHeight="1">
      <c r="A9" s="244" t="s">
        <v>144</v>
      </c>
      <c r="B9" s="244"/>
      <c r="C9" s="244"/>
      <c r="D9" s="244"/>
      <c r="E9" s="244"/>
      <c r="F9" s="244"/>
      <c r="G9" s="244"/>
      <c r="H9" s="244" t="s">
        <v>145</v>
      </c>
      <c r="I9" s="270"/>
      <c r="J9" s="271"/>
      <c r="K9" s="270"/>
      <c r="L9" s="244" t="s">
        <v>146</v>
      </c>
      <c r="M9" s="270"/>
      <c r="N9" s="244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269"/>
      <c r="AA9" s="269"/>
      <c r="AB9" s="269"/>
      <c r="AC9" s="269"/>
      <c r="AD9" s="242"/>
      <c r="AE9" s="11"/>
      <c r="AF9" s="11"/>
      <c r="AH9" s="6"/>
      <c r="AI9" s="6"/>
      <c r="AJ9" s="7"/>
    </row>
    <row r="10" spans="1:38" s="5" customFormat="1" ht="6.95" customHeight="1">
      <c r="A10" s="245"/>
      <c r="B10" s="245"/>
      <c r="C10" s="245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242"/>
      <c r="AB10" s="242"/>
      <c r="AC10" s="242"/>
      <c r="AD10" s="242"/>
      <c r="AE10" s="11"/>
      <c r="AF10" s="11"/>
      <c r="AH10" s="6"/>
      <c r="AI10" s="6"/>
      <c r="AJ10" s="7"/>
    </row>
    <row r="11" spans="1:38" s="5" customFormat="1" ht="23.1" customHeight="1">
      <c r="A11" s="243" t="s">
        <v>13</v>
      </c>
      <c r="B11" s="243"/>
      <c r="C11" s="243"/>
      <c r="D11" s="243"/>
      <c r="E11" s="243"/>
      <c r="F11" s="319"/>
      <c r="G11" s="319"/>
      <c r="H11" s="319"/>
      <c r="I11" s="319"/>
      <c r="J11" s="319"/>
      <c r="K11" s="319"/>
      <c r="L11" s="319"/>
      <c r="M11" s="269" t="s">
        <v>14</v>
      </c>
      <c r="N11" s="275"/>
      <c r="O11" s="242"/>
      <c r="P11" s="322"/>
      <c r="Q11" s="322"/>
      <c r="R11" s="322"/>
      <c r="S11" s="322"/>
      <c r="T11" s="322"/>
      <c r="U11" s="322"/>
      <c r="V11" s="10"/>
      <c r="W11" s="10"/>
      <c r="X11" s="10"/>
      <c r="Y11" s="10"/>
      <c r="Z11" s="10"/>
      <c r="AA11" s="10"/>
      <c r="AB11" s="242"/>
      <c r="AC11" s="242"/>
      <c r="AD11" s="242"/>
      <c r="AE11" s="15"/>
      <c r="AF11" s="15"/>
      <c r="AH11" s="6"/>
      <c r="AI11" s="6"/>
      <c r="AJ11" s="7"/>
    </row>
    <row r="12" spans="1:38" s="5" customFormat="1" ht="6" customHeight="1">
      <c r="A12" s="15"/>
      <c r="B12" s="15"/>
      <c r="C12" s="15"/>
      <c r="D12" s="15"/>
      <c r="E12" s="15"/>
      <c r="F12" s="14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2"/>
      <c r="S12" s="12"/>
      <c r="T12" s="12"/>
      <c r="U12" s="16"/>
      <c r="V12" s="16"/>
      <c r="W12" s="16"/>
      <c r="X12" s="16"/>
      <c r="Y12" s="16"/>
      <c r="AD12" s="17"/>
    </row>
    <row r="13" spans="1:38" ht="21" customHeight="1">
      <c r="A13" s="37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AG13" s="6"/>
      <c r="AI13" s="38"/>
      <c r="AK13" s="33">
        <v>0.28000000000000003</v>
      </c>
      <c r="AL13" s="34">
        <v>1.65</v>
      </c>
    </row>
    <row r="14" spans="1:38" ht="21.75">
      <c r="A14" s="341" t="s">
        <v>29</v>
      </c>
      <c r="B14" s="358"/>
      <c r="C14" s="341" t="s">
        <v>30</v>
      </c>
      <c r="D14" s="342"/>
      <c r="E14" s="364" t="s">
        <v>178</v>
      </c>
      <c r="F14" s="364"/>
      <c r="G14" s="364"/>
      <c r="H14" s="364"/>
      <c r="I14" s="364"/>
      <c r="J14" s="364"/>
      <c r="K14" s="364"/>
      <c r="L14" s="364"/>
      <c r="M14" s="364"/>
      <c r="N14" s="364"/>
      <c r="O14" s="364"/>
      <c r="P14" s="364"/>
      <c r="Q14" s="364" t="s">
        <v>34</v>
      </c>
      <c r="R14" s="364"/>
      <c r="S14" s="364"/>
      <c r="T14" s="365" t="s">
        <v>170</v>
      </c>
      <c r="U14" s="365"/>
      <c r="V14" s="366"/>
      <c r="W14" s="356" t="s">
        <v>32</v>
      </c>
      <c r="X14" s="351"/>
      <c r="Y14" s="351"/>
      <c r="Z14" s="351"/>
      <c r="AA14" s="352"/>
      <c r="AJ14" s="6"/>
      <c r="AK14" s="33">
        <v>0.45500000000000002</v>
      </c>
      <c r="AL14" s="34">
        <v>2.0499999999999998</v>
      </c>
    </row>
    <row r="15" spans="1:38" ht="21.75">
      <c r="A15" s="343"/>
      <c r="B15" s="359"/>
      <c r="C15" s="343"/>
      <c r="D15" s="344"/>
      <c r="E15" s="327" t="s">
        <v>174</v>
      </c>
      <c r="F15" s="328"/>
      <c r="G15" s="329"/>
      <c r="H15" s="327" t="s">
        <v>175</v>
      </c>
      <c r="I15" s="328"/>
      <c r="J15" s="329"/>
      <c r="K15" s="327" t="s">
        <v>176</v>
      </c>
      <c r="L15" s="328"/>
      <c r="M15" s="329"/>
      <c r="N15" s="327" t="s">
        <v>177</v>
      </c>
      <c r="O15" s="328"/>
      <c r="P15" s="329"/>
      <c r="Q15" s="364"/>
      <c r="R15" s="364"/>
      <c r="S15" s="364"/>
      <c r="T15" s="367"/>
      <c r="U15" s="367"/>
      <c r="V15" s="368"/>
      <c r="W15" s="353"/>
      <c r="X15" s="354"/>
      <c r="Y15" s="354"/>
      <c r="Z15" s="354"/>
      <c r="AA15" s="355"/>
      <c r="AJ15" s="6"/>
      <c r="AK15" s="34">
        <v>0.53</v>
      </c>
      <c r="AL15" s="34">
        <v>2.5499999999999998</v>
      </c>
    </row>
    <row r="16" spans="1:38" ht="21.75" customHeight="1">
      <c r="A16" s="332" t="s">
        <v>35</v>
      </c>
      <c r="B16" s="333"/>
      <c r="C16" s="338" t="s">
        <v>171</v>
      </c>
      <c r="D16" s="339"/>
      <c r="E16" s="315">
        <v>10</v>
      </c>
      <c r="F16" s="316"/>
      <c r="G16" s="317"/>
      <c r="H16" s="315">
        <v>10</v>
      </c>
      <c r="I16" s="316"/>
      <c r="J16" s="317"/>
      <c r="K16" s="315">
        <v>10</v>
      </c>
      <c r="L16" s="316"/>
      <c r="M16" s="317"/>
      <c r="N16" s="315">
        <v>10</v>
      </c>
      <c r="O16" s="316"/>
      <c r="P16" s="317"/>
      <c r="Q16" s="338">
        <f t="shared" ref="Q16:Q21" si="0">AVERAGE(E16:P16)</f>
        <v>10</v>
      </c>
      <c r="R16" s="339"/>
      <c r="S16" s="369"/>
      <c r="T16" s="338">
        <f>STDEV(E16:P21)/SQRT(4)</f>
        <v>0.87227837598864699</v>
      </c>
      <c r="U16" s="339"/>
      <c r="V16" s="369"/>
      <c r="W16" s="376">
        <f>STDEV(E16:P21)</f>
        <v>1.744556751977294</v>
      </c>
      <c r="X16" s="391"/>
      <c r="Y16" s="391"/>
      <c r="Z16" s="391"/>
      <c r="AA16" s="392"/>
      <c r="AJ16" s="41"/>
      <c r="AK16" s="39">
        <v>0.62</v>
      </c>
      <c r="AL16" s="34">
        <v>3.2</v>
      </c>
    </row>
    <row r="17" spans="1:38" ht="21.75" customHeight="1">
      <c r="A17" s="334"/>
      <c r="B17" s="335"/>
      <c r="C17" s="340" t="s">
        <v>172</v>
      </c>
      <c r="D17" s="340"/>
      <c r="E17" s="315">
        <v>11</v>
      </c>
      <c r="F17" s="316"/>
      <c r="G17" s="317"/>
      <c r="H17" s="315">
        <v>11</v>
      </c>
      <c r="I17" s="316"/>
      <c r="J17" s="317"/>
      <c r="K17" s="315">
        <v>11</v>
      </c>
      <c r="L17" s="316"/>
      <c r="M17" s="317"/>
      <c r="N17" s="315">
        <v>11</v>
      </c>
      <c r="O17" s="316"/>
      <c r="P17" s="317"/>
      <c r="Q17" s="340">
        <f t="shared" si="0"/>
        <v>11</v>
      </c>
      <c r="R17" s="340"/>
      <c r="S17" s="340"/>
      <c r="T17" s="370"/>
      <c r="U17" s="371"/>
      <c r="V17" s="372"/>
      <c r="W17" s="393"/>
      <c r="X17" s="394"/>
      <c r="Y17" s="394"/>
      <c r="Z17" s="394"/>
      <c r="AA17" s="395"/>
      <c r="AJ17" s="41"/>
      <c r="AK17" s="39">
        <v>0.72499999999999998</v>
      </c>
      <c r="AL17" s="33">
        <v>4</v>
      </c>
    </row>
    <row r="18" spans="1:38" ht="21.75" customHeight="1">
      <c r="A18" s="336"/>
      <c r="B18" s="337"/>
      <c r="C18" s="340" t="s">
        <v>173</v>
      </c>
      <c r="D18" s="340"/>
      <c r="E18" s="315">
        <v>12</v>
      </c>
      <c r="F18" s="316"/>
      <c r="G18" s="317"/>
      <c r="H18" s="315">
        <v>12</v>
      </c>
      <c r="I18" s="316"/>
      <c r="J18" s="317"/>
      <c r="K18" s="315">
        <v>12</v>
      </c>
      <c r="L18" s="316"/>
      <c r="M18" s="317"/>
      <c r="N18" s="315">
        <v>12</v>
      </c>
      <c r="O18" s="316"/>
      <c r="P18" s="317"/>
      <c r="Q18" s="380">
        <f t="shared" si="0"/>
        <v>12</v>
      </c>
      <c r="R18" s="381"/>
      <c r="S18" s="382"/>
      <c r="T18" s="370"/>
      <c r="U18" s="371"/>
      <c r="V18" s="372"/>
      <c r="W18" s="393"/>
      <c r="X18" s="394"/>
      <c r="Y18" s="394"/>
      <c r="Z18" s="394"/>
      <c r="AA18" s="395"/>
      <c r="AJ18" s="41"/>
      <c r="AK18" s="34">
        <v>0.89500000000000002</v>
      </c>
      <c r="AL18" s="40"/>
    </row>
    <row r="19" spans="1:38" ht="21.75">
      <c r="A19" s="332" t="s">
        <v>36</v>
      </c>
      <c r="B19" s="333"/>
      <c r="C19" s="340" t="s">
        <v>171</v>
      </c>
      <c r="D19" s="340"/>
      <c r="E19" s="315">
        <v>13</v>
      </c>
      <c r="F19" s="316"/>
      <c r="G19" s="317"/>
      <c r="H19" s="315">
        <v>13</v>
      </c>
      <c r="I19" s="316"/>
      <c r="J19" s="317"/>
      <c r="K19" s="315">
        <v>13</v>
      </c>
      <c r="L19" s="316"/>
      <c r="M19" s="317"/>
      <c r="N19" s="315">
        <v>13</v>
      </c>
      <c r="O19" s="316"/>
      <c r="P19" s="317"/>
      <c r="Q19" s="338">
        <f t="shared" si="0"/>
        <v>13</v>
      </c>
      <c r="R19" s="339"/>
      <c r="S19" s="369"/>
      <c r="T19" s="370"/>
      <c r="U19" s="371"/>
      <c r="V19" s="372"/>
      <c r="W19" s="393"/>
      <c r="X19" s="394"/>
      <c r="Y19" s="394"/>
      <c r="Z19" s="394"/>
      <c r="AA19" s="395"/>
      <c r="AJ19" s="41"/>
      <c r="AK19" s="41"/>
    </row>
    <row r="20" spans="1:38" ht="21.75">
      <c r="A20" s="334"/>
      <c r="B20" s="335"/>
      <c r="C20" s="340" t="s">
        <v>172</v>
      </c>
      <c r="D20" s="340"/>
      <c r="E20" s="315">
        <v>14</v>
      </c>
      <c r="F20" s="316"/>
      <c r="G20" s="317"/>
      <c r="H20" s="315">
        <v>14</v>
      </c>
      <c r="I20" s="316"/>
      <c r="J20" s="317"/>
      <c r="K20" s="315">
        <v>14</v>
      </c>
      <c r="L20" s="316"/>
      <c r="M20" s="317"/>
      <c r="N20" s="315">
        <v>14</v>
      </c>
      <c r="O20" s="316"/>
      <c r="P20" s="317"/>
      <c r="Q20" s="340">
        <f t="shared" si="0"/>
        <v>14</v>
      </c>
      <c r="R20" s="340"/>
      <c r="S20" s="340"/>
      <c r="T20" s="370"/>
      <c r="U20" s="371"/>
      <c r="V20" s="372"/>
      <c r="W20" s="393"/>
      <c r="X20" s="394"/>
      <c r="Y20" s="394"/>
      <c r="Z20" s="394"/>
      <c r="AA20" s="395"/>
      <c r="AJ20" s="41"/>
      <c r="AK20" s="41"/>
    </row>
    <row r="21" spans="1:38" ht="21.75">
      <c r="A21" s="336"/>
      <c r="B21" s="337"/>
      <c r="C21" s="340" t="s">
        <v>173</v>
      </c>
      <c r="D21" s="340"/>
      <c r="E21" s="315">
        <v>15</v>
      </c>
      <c r="F21" s="316"/>
      <c r="G21" s="317"/>
      <c r="H21" s="315">
        <v>15</v>
      </c>
      <c r="I21" s="316"/>
      <c r="J21" s="317"/>
      <c r="K21" s="315">
        <v>15</v>
      </c>
      <c r="L21" s="316"/>
      <c r="M21" s="317"/>
      <c r="N21" s="315">
        <v>15</v>
      </c>
      <c r="O21" s="316"/>
      <c r="P21" s="317"/>
      <c r="Q21" s="380">
        <f t="shared" si="0"/>
        <v>15</v>
      </c>
      <c r="R21" s="381"/>
      <c r="S21" s="382"/>
      <c r="T21" s="373"/>
      <c r="U21" s="374"/>
      <c r="V21" s="375"/>
      <c r="W21" s="379"/>
      <c r="X21" s="396"/>
      <c r="Y21" s="396"/>
      <c r="Z21" s="396"/>
      <c r="AA21" s="397"/>
      <c r="AJ21" s="41"/>
      <c r="AK21" s="41"/>
    </row>
    <row r="22" spans="1:38" ht="21.75">
      <c r="A22" s="333"/>
      <c r="B22" s="333"/>
      <c r="C22" s="333"/>
      <c r="D22" s="42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  <c r="R22" s="390"/>
      <c r="S22" s="390"/>
      <c r="T22" s="390"/>
      <c r="U22" s="390"/>
      <c r="V22" s="390"/>
      <c r="W22" s="390"/>
      <c r="X22" s="390"/>
      <c r="Y22" s="390"/>
      <c r="Z22" s="41"/>
      <c r="AA22" s="41"/>
      <c r="AB22" s="41"/>
      <c r="AC22" s="6"/>
      <c r="AD22" s="6"/>
      <c r="AG22" s="41"/>
      <c r="AI22" s="41"/>
    </row>
    <row r="23" spans="1:38" ht="18.75" customHeight="1">
      <c r="A23" s="341" t="s">
        <v>29</v>
      </c>
      <c r="B23" s="358"/>
      <c r="C23" s="341" t="s">
        <v>30</v>
      </c>
      <c r="D23" s="342"/>
      <c r="E23" s="364" t="s">
        <v>178</v>
      </c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 t="s">
        <v>34</v>
      </c>
      <c r="R23" s="364"/>
      <c r="S23" s="364"/>
      <c r="T23" s="365" t="s">
        <v>170</v>
      </c>
      <c r="U23" s="365"/>
      <c r="V23" s="366"/>
      <c r="W23" s="356" t="s">
        <v>32</v>
      </c>
      <c r="X23" s="351"/>
      <c r="Y23" s="351"/>
      <c r="Z23" s="351"/>
      <c r="AA23" s="352"/>
    </row>
    <row r="24" spans="1:38" ht="18.75" customHeight="1">
      <c r="A24" s="343"/>
      <c r="B24" s="359"/>
      <c r="C24" s="343"/>
      <c r="D24" s="344"/>
      <c r="E24" s="327" t="s">
        <v>174</v>
      </c>
      <c r="F24" s="328"/>
      <c r="G24" s="329"/>
      <c r="H24" s="327" t="s">
        <v>175</v>
      </c>
      <c r="I24" s="328"/>
      <c r="J24" s="329"/>
      <c r="K24" s="327" t="s">
        <v>176</v>
      </c>
      <c r="L24" s="328"/>
      <c r="M24" s="329"/>
      <c r="N24" s="327" t="s">
        <v>177</v>
      </c>
      <c r="O24" s="328"/>
      <c r="P24" s="329"/>
      <c r="Q24" s="364"/>
      <c r="R24" s="364"/>
      <c r="S24" s="364"/>
      <c r="T24" s="367"/>
      <c r="U24" s="367"/>
      <c r="V24" s="368"/>
      <c r="W24" s="353"/>
      <c r="X24" s="354"/>
      <c r="Y24" s="354"/>
      <c r="Z24" s="354"/>
      <c r="AA24" s="355"/>
    </row>
    <row r="25" spans="1:38" ht="18.75" customHeight="1">
      <c r="A25" s="332" t="s">
        <v>35</v>
      </c>
      <c r="B25" s="333"/>
      <c r="C25" s="338" t="s">
        <v>171</v>
      </c>
      <c r="D25" s="339"/>
      <c r="E25" s="315">
        <v>10</v>
      </c>
      <c r="F25" s="316"/>
      <c r="G25" s="317"/>
      <c r="H25" s="315">
        <v>10</v>
      </c>
      <c r="I25" s="316"/>
      <c r="J25" s="317"/>
      <c r="K25" s="315">
        <v>10</v>
      </c>
      <c r="L25" s="316"/>
      <c r="M25" s="317"/>
      <c r="N25" s="315">
        <v>10</v>
      </c>
      <c r="O25" s="316"/>
      <c r="P25" s="317"/>
      <c r="Q25" s="338">
        <f t="shared" ref="Q25:Q30" si="1">AVERAGE(E25:P25)</f>
        <v>10</v>
      </c>
      <c r="R25" s="339"/>
      <c r="S25" s="369"/>
      <c r="T25" s="338">
        <f>STDEV(E25:P30)/SQRT(4)</f>
        <v>0.87227837598864699</v>
      </c>
      <c r="U25" s="339"/>
      <c r="V25" s="369"/>
      <c r="W25" s="376">
        <v>1.744556751977294</v>
      </c>
      <c r="X25" s="391"/>
      <c r="Y25" s="391"/>
      <c r="Z25" s="391"/>
      <c r="AA25" s="392"/>
    </row>
    <row r="26" spans="1:38" ht="18.75" customHeight="1">
      <c r="A26" s="334"/>
      <c r="B26" s="335"/>
      <c r="C26" s="340" t="s">
        <v>172</v>
      </c>
      <c r="D26" s="340"/>
      <c r="E26" s="315">
        <v>11</v>
      </c>
      <c r="F26" s="316"/>
      <c r="G26" s="317"/>
      <c r="H26" s="315">
        <v>11</v>
      </c>
      <c r="I26" s="316"/>
      <c r="J26" s="317"/>
      <c r="K26" s="315">
        <v>11</v>
      </c>
      <c r="L26" s="316"/>
      <c r="M26" s="317"/>
      <c r="N26" s="315">
        <v>11</v>
      </c>
      <c r="O26" s="316"/>
      <c r="P26" s="317"/>
      <c r="Q26" s="340">
        <f t="shared" si="1"/>
        <v>11</v>
      </c>
      <c r="R26" s="340"/>
      <c r="S26" s="340"/>
      <c r="T26" s="370"/>
      <c r="U26" s="371"/>
      <c r="V26" s="372"/>
      <c r="W26" s="393"/>
      <c r="X26" s="394"/>
      <c r="Y26" s="394"/>
      <c r="Z26" s="394"/>
      <c r="AA26" s="395"/>
    </row>
    <row r="27" spans="1:38" ht="18.75" customHeight="1">
      <c r="A27" s="336"/>
      <c r="B27" s="337"/>
      <c r="C27" s="340" t="s">
        <v>173</v>
      </c>
      <c r="D27" s="340"/>
      <c r="E27" s="315">
        <v>12</v>
      </c>
      <c r="F27" s="316"/>
      <c r="G27" s="317"/>
      <c r="H27" s="315">
        <v>12</v>
      </c>
      <c r="I27" s="316"/>
      <c r="J27" s="317"/>
      <c r="K27" s="315">
        <v>12</v>
      </c>
      <c r="L27" s="316"/>
      <c r="M27" s="317"/>
      <c r="N27" s="315">
        <v>12</v>
      </c>
      <c r="O27" s="316"/>
      <c r="P27" s="317"/>
      <c r="Q27" s="380">
        <f t="shared" si="1"/>
        <v>12</v>
      </c>
      <c r="R27" s="381"/>
      <c r="S27" s="382"/>
      <c r="T27" s="370"/>
      <c r="U27" s="371"/>
      <c r="V27" s="372"/>
      <c r="W27" s="393"/>
      <c r="X27" s="394"/>
      <c r="Y27" s="394"/>
      <c r="Z27" s="394"/>
      <c r="AA27" s="395"/>
    </row>
    <row r="28" spans="1:38" ht="18.75" customHeight="1">
      <c r="A28" s="332" t="s">
        <v>36</v>
      </c>
      <c r="B28" s="333"/>
      <c r="C28" s="340" t="s">
        <v>171</v>
      </c>
      <c r="D28" s="340"/>
      <c r="E28" s="315">
        <v>13</v>
      </c>
      <c r="F28" s="316"/>
      <c r="G28" s="317"/>
      <c r="H28" s="315">
        <v>13</v>
      </c>
      <c r="I28" s="316"/>
      <c r="J28" s="317"/>
      <c r="K28" s="315">
        <v>13</v>
      </c>
      <c r="L28" s="316"/>
      <c r="M28" s="317"/>
      <c r="N28" s="315">
        <v>13</v>
      </c>
      <c r="O28" s="316"/>
      <c r="P28" s="317"/>
      <c r="Q28" s="338">
        <f t="shared" si="1"/>
        <v>13</v>
      </c>
      <c r="R28" s="339"/>
      <c r="S28" s="369"/>
      <c r="T28" s="370"/>
      <c r="U28" s="371"/>
      <c r="V28" s="372"/>
      <c r="W28" s="393"/>
      <c r="X28" s="394"/>
      <c r="Y28" s="394"/>
      <c r="Z28" s="394"/>
      <c r="AA28" s="395"/>
    </row>
    <row r="29" spans="1:38" ht="18.75" customHeight="1">
      <c r="A29" s="334"/>
      <c r="B29" s="335"/>
      <c r="C29" s="340" t="s">
        <v>172</v>
      </c>
      <c r="D29" s="340"/>
      <c r="E29" s="315">
        <v>14</v>
      </c>
      <c r="F29" s="316"/>
      <c r="G29" s="317"/>
      <c r="H29" s="315">
        <v>14</v>
      </c>
      <c r="I29" s="316"/>
      <c r="J29" s="317"/>
      <c r="K29" s="315">
        <v>14</v>
      </c>
      <c r="L29" s="316"/>
      <c r="M29" s="317"/>
      <c r="N29" s="315">
        <v>14</v>
      </c>
      <c r="O29" s="316"/>
      <c r="P29" s="317"/>
      <c r="Q29" s="340">
        <f t="shared" si="1"/>
        <v>14</v>
      </c>
      <c r="R29" s="340"/>
      <c r="S29" s="340"/>
      <c r="T29" s="370"/>
      <c r="U29" s="371"/>
      <c r="V29" s="372"/>
      <c r="W29" s="393"/>
      <c r="X29" s="394"/>
      <c r="Y29" s="394"/>
      <c r="Z29" s="394"/>
      <c r="AA29" s="395"/>
    </row>
    <row r="30" spans="1:38" ht="18.75" customHeight="1">
      <c r="A30" s="336"/>
      <c r="B30" s="337"/>
      <c r="C30" s="340" t="s">
        <v>173</v>
      </c>
      <c r="D30" s="340"/>
      <c r="E30" s="315">
        <v>15</v>
      </c>
      <c r="F30" s="316"/>
      <c r="G30" s="317"/>
      <c r="H30" s="315">
        <v>15</v>
      </c>
      <c r="I30" s="316"/>
      <c r="J30" s="317"/>
      <c r="K30" s="315">
        <v>15</v>
      </c>
      <c r="L30" s="316"/>
      <c r="M30" s="317"/>
      <c r="N30" s="315">
        <v>15</v>
      </c>
      <c r="O30" s="316"/>
      <c r="P30" s="317"/>
      <c r="Q30" s="380">
        <f t="shared" si="1"/>
        <v>15</v>
      </c>
      <c r="R30" s="381"/>
      <c r="S30" s="382"/>
      <c r="T30" s="373"/>
      <c r="U30" s="374"/>
      <c r="V30" s="375"/>
      <c r="W30" s="379"/>
      <c r="X30" s="396"/>
      <c r="Y30" s="396"/>
      <c r="Z30" s="396"/>
      <c r="AA30" s="397"/>
    </row>
  </sheetData>
  <mergeCells count="125">
    <mergeCell ref="A1:I2"/>
    <mergeCell ref="N1:R1"/>
    <mergeCell ref="N2:R2"/>
    <mergeCell ref="W2:AA2"/>
    <mergeCell ref="A3:I3"/>
    <mergeCell ref="A4:I4"/>
    <mergeCell ref="I8:N8"/>
    <mergeCell ref="R8:W8"/>
    <mergeCell ref="O9:Y9"/>
    <mergeCell ref="F11:L11"/>
    <mergeCell ref="P11:U11"/>
    <mergeCell ref="F5:T5"/>
    <mergeCell ref="F6:L6"/>
    <mergeCell ref="Q6:U6"/>
    <mergeCell ref="X6:AB6"/>
    <mergeCell ref="D7:H7"/>
    <mergeCell ref="K7:N7"/>
    <mergeCell ref="W14:AA15"/>
    <mergeCell ref="E15:G15"/>
    <mergeCell ref="H15:J15"/>
    <mergeCell ref="K15:M15"/>
    <mergeCell ref="N15:P15"/>
    <mergeCell ref="T14:V15"/>
    <mergeCell ref="Q16:S16"/>
    <mergeCell ref="T16:V21"/>
    <mergeCell ref="C17:D17"/>
    <mergeCell ref="E17:G17"/>
    <mergeCell ref="H17:J17"/>
    <mergeCell ref="K17:M17"/>
    <mergeCell ref="N17:P17"/>
    <mergeCell ref="A16:B18"/>
    <mergeCell ref="C16:D16"/>
    <mergeCell ref="E16:G16"/>
    <mergeCell ref="H16:J16"/>
    <mergeCell ref="K16:M16"/>
    <mergeCell ref="N16:P16"/>
    <mergeCell ref="A19:B21"/>
    <mergeCell ref="C19:D19"/>
    <mergeCell ref="E19:G19"/>
    <mergeCell ref="H19:J19"/>
    <mergeCell ref="K19:M19"/>
    <mergeCell ref="N19:P19"/>
    <mergeCell ref="N20:P20"/>
    <mergeCell ref="Q20:S20"/>
    <mergeCell ref="C29:D29"/>
    <mergeCell ref="K25:M25"/>
    <mergeCell ref="N25:P25"/>
    <mergeCell ref="A14:B15"/>
    <mergeCell ref="C14:D15"/>
    <mergeCell ref="E14:P14"/>
    <mergeCell ref="Q14:S15"/>
    <mergeCell ref="N30:P30"/>
    <mergeCell ref="Q30:S30"/>
    <mergeCell ref="E29:G29"/>
    <mergeCell ref="H29:J29"/>
    <mergeCell ref="H25:J25"/>
    <mergeCell ref="K29:M29"/>
    <mergeCell ref="Q19:S19"/>
    <mergeCell ref="Q17:S17"/>
    <mergeCell ref="C18:D18"/>
    <mergeCell ref="E18:G18"/>
    <mergeCell ref="H18:J18"/>
    <mergeCell ref="K18:M18"/>
    <mergeCell ref="N18:P18"/>
    <mergeCell ref="Q18:S18"/>
    <mergeCell ref="C21:D21"/>
    <mergeCell ref="E21:G21"/>
    <mergeCell ref="H21:J21"/>
    <mergeCell ref="K21:M21"/>
    <mergeCell ref="N21:P21"/>
    <mergeCell ref="Q21:S21"/>
    <mergeCell ref="C20:D20"/>
    <mergeCell ref="E20:G20"/>
    <mergeCell ref="H20:J20"/>
    <mergeCell ref="K20:M20"/>
    <mergeCell ref="N24:P24"/>
    <mergeCell ref="T22:V22"/>
    <mergeCell ref="W22:Y22"/>
    <mergeCell ref="A22:C22"/>
    <mergeCell ref="E22:G22"/>
    <mergeCell ref="H22:J22"/>
    <mergeCell ref="K22:M22"/>
    <mergeCell ref="N22:P22"/>
    <mergeCell ref="Q22:S22"/>
    <mergeCell ref="Q23:S24"/>
    <mergeCell ref="T23:V24"/>
    <mergeCell ref="W23:AA24"/>
    <mergeCell ref="E24:G24"/>
    <mergeCell ref="H24:J24"/>
    <mergeCell ref="K24:M24"/>
    <mergeCell ref="A23:B24"/>
    <mergeCell ref="C23:D24"/>
    <mergeCell ref="E23:P23"/>
    <mergeCell ref="Q29:S29"/>
    <mergeCell ref="W16:AA21"/>
    <mergeCell ref="W25:AA30"/>
    <mergeCell ref="Q27:S27"/>
    <mergeCell ref="A28:B30"/>
    <mergeCell ref="C28:D28"/>
    <mergeCell ref="E28:G28"/>
    <mergeCell ref="H28:J28"/>
    <mergeCell ref="K28:M28"/>
    <mergeCell ref="N28:P28"/>
    <mergeCell ref="Q28:S28"/>
    <mergeCell ref="Q25:S25"/>
    <mergeCell ref="T25:V30"/>
    <mergeCell ref="C26:D26"/>
    <mergeCell ref="E26:G26"/>
    <mergeCell ref="H26:J26"/>
    <mergeCell ref="K26:M26"/>
    <mergeCell ref="C30:D30"/>
    <mergeCell ref="E30:G30"/>
    <mergeCell ref="H30:J30"/>
    <mergeCell ref="K30:M30"/>
    <mergeCell ref="N26:P26"/>
    <mergeCell ref="Q26:S26"/>
    <mergeCell ref="C27:D27"/>
    <mergeCell ref="A25:B27"/>
    <mergeCell ref="C25:D25"/>
    <mergeCell ref="E25:G25"/>
    <mergeCell ref="N29:P29"/>
    <mergeCell ref="E27:G27"/>
    <mergeCell ref="H27:J27"/>
    <mergeCell ref="K27:M27"/>
    <mergeCell ref="N27:P27"/>
  </mergeCells>
  <pageMargins left="0.31496062992125984" right="0.31496062992125984" top="0.74803149606299213" bottom="0.19685039370078741" header="0.31496062992125984" footer="0.11811023622047245"/>
  <pageSetup paperSize="9" scale="86" orientation="landscape" horizontalDpi="1200" verticalDpi="1200" r:id="rId1"/>
  <headerFooter>
    <oddFooter>&amp;LPage &amp;P of &amp;N&amp;R&amp;"Gulim,Regular"&amp;10SP-FMD-04-39 Rev.0
Effective date : 23-Nov-15</oddFooter>
  </headerFooter>
  <colBreaks count="1" manualBreakCount="1">
    <brk id="32" max="37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2" r:id="rId4" name="Check Box 2">
              <controlPr defaultSize="0" autoFill="0" autoLine="0" autoPict="0">
                <anchor moveWithCells="1">
                  <from>
                    <xdr:col>18</xdr:col>
                    <xdr:colOff>19050</xdr:colOff>
                    <xdr:row>3</xdr:row>
                    <xdr:rowOff>95250</xdr:rowOff>
                  </from>
                  <to>
                    <xdr:col>18</xdr:col>
                    <xdr:colOff>238125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5" name="Check Box 3">
              <controlPr defaultSize="0" autoFill="0" autoLine="0" autoPict="0">
                <anchor moveWithCells="1">
                  <from>
                    <xdr:col>13</xdr:col>
                    <xdr:colOff>28575</xdr:colOff>
                    <xdr:row>3</xdr:row>
                    <xdr:rowOff>76200</xdr:rowOff>
                  </from>
                  <to>
                    <xdr:col>14</xdr:col>
                    <xdr:colOff>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6" name="Check Box 4">
              <controlPr defaultSize="0" autoFill="0" autoLine="0" autoPict="0">
                <anchor moveWithCells="1">
                  <from>
                    <xdr:col>6</xdr:col>
                    <xdr:colOff>28575</xdr:colOff>
                    <xdr:row>8</xdr:row>
                    <xdr:rowOff>85725</xdr:rowOff>
                  </from>
                  <to>
                    <xdr:col>7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7" name="Check Box 5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104775</xdr:rowOff>
                  </from>
                  <to>
                    <xdr:col>11</xdr:col>
                    <xdr:colOff>19050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3:AF42"/>
  <sheetViews>
    <sheetView view="pageBreakPreview" topLeftCell="A4" zoomScaleNormal="100" zoomScaleSheetLayoutView="100" workbookViewId="0">
      <selection activeCell="M23" sqref="M23:N23"/>
    </sheetView>
  </sheetViews>
  <sheetFormatPr defaultColWidth="9.140625" defaultRowHeight="20.25"/>
  <cols>
    <col min="1" max="22" width="4.5703125" style="126" customWidth="1"/>
    <col min="23" max="23" width="4.28515625" style="126" customWidth="1"/>
    <col min="24" max="256" width="9.140625" style="126"/>
    <col min="257" max="263" width="4.28515625" style="126" customWidth="1"/>
    <col min="264" max="264" width="3.42578125" style="126" customWidth="1"/>
    <col min="265" max="279" width="4.28515625" style="126" customWidth="1"/>
    <col min="280" max="512" width="9.140625" style="126"/>
    <col min="513" max="519" width="4.28515625" style="126" customWidth="1"/>
    <col min="520" max="520" width="3.42578125" style="126" customWidth="1"/>
    <col min="521" max="535" width="4.28515625" style="126" customWidth="1"/>
    <col min="536" max="768" width="9.140625" style="126"/>
    <col min="769" max="775" width="4.28515625" style="126" customWidth="1"/>
    <col min="776" max="776" width="3.42578125" style="126" customWidth="1"/>
    <col min="777" max="791" width="4.28515625" style="126" customWidth="1"/>
    <col min="792" max="1024" width="9.140625" style="126"/>
    <col min="1025" max="1031" width="4.28515625" style="126" customWidth="1"/>
    <col min="1032" max="1032" width="3.42578125" style="126" customWidth="1"/>
    <col min="1033" max="1047" width="4.28515625" style="126" customWidth="1"/>
    <col min="1048" max="1280" width="9.140625" style="126"/>
    <col min="1281" max="1287" width="4.28515625" style="126" customWidth="1"/>
    <col min="1288" max="1288" width="3.42578125" style="126" customWidth="1"/>
    <col min="1289" max="1303" width="4.28515625" style="126" customWidth="1"/>
    <col min="1304" max="1536" width="9.140625" style="126"/>
    <col min="1537" max="1543" width="4.28515625" style="126" customWidth="1"/>
    <col min="1544" max="1544" width="3.42578125" style="126" customWidth="1"/>
    <col min="1545" max="1559" width="4.28515625" style="126" customWidth="1"/>
    <col min="1560" max="1792" width="9.140625" style="126"/>
    <col min="1793" max="1799" width="4.28515625" style="126" customWidth="1"/>
    <col min="1800" max="1800" width="3.42578125" style="126" customWidth="1"/>
    <col min="1801" max="1815" width="4.28515625" style="126" customWidth="1"/>
    <col min="1816" max="2048" width="9.140625" style="126"/>
    <col min="2049" max="2055" width="4.28515625" style="126" customWidth="1"/>
    <col min="2056" max="2056" width="3.42578125" style="126" customWidth="1"/>
    <col min="2057" max="2071" width="4.28515625" style="126" customWidth="1"/>
    <col min="2072" max="2304" width="9.140625" style="126"/>
    <col min="2305" max="2311" width="4.28515625" style="126" customWidth="1"/>
    <col min="2312" max="2312" width="3.42578125" style="126" customWidth="1"/>
    <col min="2313" max="2327" width="4.28515625" style="126" customWidth="1"/>
    <col min="2328" max="2560" width="9.140625" style="126"/>
    <col min="2561" max="2567" width="4.28515625" style="126" customWidth="1"/>
    <col min="2568" max="2568" width="3.42578125" style="126" customWidth="1"/>
    <col min="2569" max="2583" width="4.28515625" style="126" customWidth="1"/>
    <col min="2584" max="2816" width="9.140625" style="126"/>
    <col min="2817" max="2823" width="4.28515625" style="126" customWidth="1"/>
    <col min="2824" max="2824" width="3.42578125" style="126" customWidth="1"/>
    <col min="2825" max="2839" width="4.28515625" style="126" customWidth="1"/>
    <col min="2840" max="3072" width="9.140625" style="126"/>
    <col min="3073" max="3079" width="4.28515625" style="126" customWidth="1"/>
    <col min="3080" max="3080" width="3.42578125" style="126" customWidth="1"/>
    <col min="3081" max="3095" width="4.28515625" style="126" customWidth="1"/>
    <col min="3096" max="3328" width="9.140625" style="126"/>
    <col min="3329" max="3335" width="4.28515625" style="126" customWidth="1"/>
    <col min="3336" max="3336" width="3.42578125" style="126" customWidth="1"/>
    <col min="3337" max="3351" width="4.28515625" style="126" customWidth="1"/>
    <col min="3352" max="3584" width="9.140625" style="126"/>
    <col min="3585" max="3591" width="4.28515625" style="126" customWidth="1"/>
    <col min="3592" max="3592" width="3.42578125" style="126" customWidth="1"/>
    <col min="3593" max="3607" width="4.28515625" style="126" customWidth="1"/>
    <col min="3608" max="3840" width="9.140625" style="126"/>
    <col min="3841" max="3847" width="4.28515625" style="126" customWidth="1"/>
    <col min="3848" max="3848" width="3.42578125" style="126" customWidth="1"/>
    <col min="3849" max="3863" width="4.28515625" style="126" customWidth="1"/>
    <col min="3864" max="4096" width="9.140625" style="126"/>
    <col min="4097" max="4103" width="4.28515625" style="126" customWidth="1"/>
    <col min="4104" max="4104" width="3.42578125" style="126" customWidth="1"/>
    <col min="4105" max="4119" width="4.28515625" style="126" customWidth="1"/>
    <col min="4120" max="4352" width="9.140625" style="126"/>
    <col min="4353" max="4359" width="4.28515625" style="126" customWidth="1"/>
    <col min="4360" max="4360" width="3.42578125" style="126" customWidth="1"/>
    <col min="4361" max="4375" width="4.28515625" style="126" customWidth="1"/>
    <col min="4376" max="4608" width="9.140625" style="126"/>
    <col min="4609" max="4615" width="4.28515625" style="126" customWidth="1"/>
    <col min="4616" max="4616" width="3.42578125" style="126" customWidth="1"/>
    <col min="4617" max="4631" width="4.28515625" style="126" customWidth="1"/>
    <col min="4632" max="4864" width="9.140625" style="126"/>
    <col min="4865" max="4871" width="4.28515625" style="126" customWidth="1"/>
    <col min="4872" max="4872" width="3.42578125" style="126" customWidth="1"/>
    <col min="4873" max="4887" width="4.28515625" style="126" customWidth="1"/>
    <col min="4888" max="5120" width="9.140625" style="126"/>
    <col min="5121" max="5127" width="4.28515625" style="126" customWidth="1"/>
    <col min="5128" max="5128" width="3.42578125" style="126" customWidth="1"/>
    <col min="5129" max="5143" width="4.28515625" style="126" customWidth="1"/>
    <col min="5144" max="5376" width="9.140625" style="126"/>
    <col min="5377" max="5383" width="4.28515625" style="126" customWidth="1"/>
    <col min="5384" max="5384" width="3.42578125" style="126" customWidth="1"/>
    <col min="5385" max="5399" width="4.28515625" style="126" customWidth="1"/>
    <col min="5400" max="5632" width="9.140625" style="126"/>
    <col min="5633" max="5639" width="4.28515625" style="126" customWidth="1"/>
    <col min="5640" max="5640" width="3.42578125" style="126" customWidth="1"/>
    <col min="5641" max="5655" width="4.28515625" style="126" customWidth="1"/>
    <col min="5656" max="5888" width="9.140625" style="126"/>
    <col min="5889" max="5895" width="4.28515625" style="126" customWidth="1"/>
    <col min="5896" max="5896" width="3.42578125" style="126" customWidth="1"/>
    <col min="5897" max="5911" width="4.28515625" style="126" customWidth="1"/>
    <col min="5912" max="6144" width="9.140625" style="126"/>
    <col min="6145" max="6151" width="4.28515625" style="126" customWidth="1"/>
    <col min="6152" max="6152" width="3.42578125" style="126" customWidth="1"/>
    <col min="6153" max="6167" width="4.28515625" style="126" customWidth="1"/>
    <col min="6168" max="6400" width="9.140625" style="126"/>
    <col min="6401" max="6407" width="4.28515625" style="126" customWidth="1"/>
    <col min="6408" max="6408" width="3.42578125" style="126" customWidth="1"/>
    <col min="6409" max="6423" width="4.28515625" style="126" customWidth="1"/>
    <col min="6424" max="6656" width="9.140625" style="126"/>
    <col min="6657" max="6663" width="4.28515625" style="126" customWidth="1"/>
    <col min="6664" max="6664" width="3.42578125" style="126" customWidth="1"/>
    <col min="6665" max="6679" width="4.28515625" style="126" customWidth="1"/>
    <col min="6680" max="6912" width="9.140625" style="126"/>
    <col min="6913" max="6919" width="4.28515625" style="126" customWidth="1"/>
    <col min="6920" max="6920" width="3.42578125" style="126" customWidth="1"/>
    <col min="6921" max="6935" width="4.28515625" style="126" customWidth="1"/>
    <col min="6936" max="7168" width="9.140625" style="126"/>
    <col min="7169" max="7175" width="4.28515625" style="126" customWidth="1"/>
    <col min="7176" max="7176" width="3.42578125" style="126" customWidth="1"/>
    <col min="7177" max="7191" width="4.28515625" style="126" customWidth="1"/>
    <col min="7192" max="7424" width="9.140625" style="126"/>
    <col min="7425" max="7431" width="4.28515625" style="126" customWidth="1"/>
    <col min="7432" max="7432" width="3.42578125" style="126" customWidth="1"/>
    <col min="7433" max="7447" width="4.28515625" style="126" customWidth="1"/>
    <col min="7448" max="7680" width="9.140625" style="126"/>
    <col min="7681" max="7687" width="4.28515625" style="126" customWidth="1"/>
    <col min="7688" max="7688" width="3.42578125" style="126" customWidth="1"/>
    <col min="7689" max="7703" width="4.28515625" style="126" customWidth="1"/>
    <col min="7704" max="7936" width="9.140625" style="126"/>
    <col min="7937" max="7943" width="4.28515625" style="126" customWidth="1"/>
    <col min="7944" max="7944" width="3.42578125" style="126" customWidth="1"/>
    <col min="7945" max="7959" width="4.28515625" style="126" customWidth="1"/>
    <col min="7960" max="8192" width="9.140625" style="126"/>
    <col min="8193" max="8199" width="4.28515625" style="126" customWidth="1"/>
    <col min="8200" max="8200" width="3.42578125" style="126" customWidth="1"/>
    <col min="8201" max="8215" width="4.28515625" style="126" customWidth="1"/>
    <col min="8216" max="8448" width="9.140625" style="126"/>
    <col min="8449" max="8455" width="4.28515625" style="126" customWidth="1"/>
    <col min="8456" max="8456" width="3.42578125" style="126" customWidth="1"/>
    <col min="8457" max="8471" width="4.28515625" style="126" customWidth="1"/>
    <col min="8472" max="8704" width="9.140625" style="126"/>
    <col min="8705" max="8711" width="4.28515625" style="126" customWidth="1"/>
    <col min="8712" max="8712" width="3.42578125" style="126" customWidth="1"/>
    <col min="8713" max="8727" width="4.28515625" style="126" customWidth="1"/>
    <col min="8728" max="8960" width="9.140625" style="126"/>
    <col min="8961" max="8967" width="4.28515625" style="126" customWidth="1"/>
    <col min="8968" max="8968" width="3.42578125" style="126" customWidth="1"/>
    <col min="8969" max="8983" width="4.28515625" style="126" customWidth="1"/>
    <col min="8984" max="9216" width="9.140625" style="126"/>
    <col min="9217" max="9223" width="4.28515625" style="126" customWidth="1"/>
    <col min="9224" max="9224" width="3.42578125" style="126" customWidth="1"/>
    <col min="9225" max="9239" width="4.28515625" style="126" customWidth="1"/>
    <col min="9240" max="9472" width="9.140625" style="126"/>
    <col min="9473" max="9479" width="4.28515625" style="126" customWidth="1"/>
    <col min="9480" max="9480" width="3.42578125" style="126" customWidth="1"/>
    <col min="9481" max="9495" width="4.28515625" style="126" customWidth="1"/>
    <col min="9496" max="9728" width="9.140625" style="126"/>
    <col min="9729" max="9735" width="4.28515625" style="126" customWidth="1"/>
    <col min="9736" max="9736" width="3.42578125" style="126" customWidth="1"/>
    <col min="9737" max="9751" width="4.28515625" style="126" customWidth="1"/>
    <col min="9752" max="9984" width="9.140625" style="126"/>
    <col min="9985" max="9991" width="4.28515625" style="126" customWidth="1"/>
    <col min="9992" max="9992" width="3.42578125" style="126" customWidth="1"/>
    <col min="9993" max="10007" width="4.28515625" style="126" customWidth="1"/>
    <col min="10008" max="10240" width="9.140625" style="126"/>
    <col min="10241" max="10247" width="4.28515625" style="126" customWidth="1"/>
    <col min="10248" max="10248" width="3.42578125" style="126" customWidth="1"/>
    <col min="10249" max="10263" width="4.28515625" style="126" customWidth="1"/>
    <col min="10264" max="10496" width="9.140625" style="126"/>
    <col min="10497" max="10503" width="4.28515625" style="126" customWidth="1"/>
    <col min="10504" max="10504" width="3.42578125" style="126" customWidth="1"/>
    <col min="10505" max="10519" width="4.28515625" style="126" customWidth="1"/>
    <col min="10520" max="10752" width="9.140625" style="126"/>
    <col min="10753" max="10759" width="4.28515625" style="126" customWidth="1"/>
    <col min="10760" max="10760" width="3.42578125" style="126" customWidth="1"/>
    <col min="10761" max="10775" width="4.28515625" style="126" customWidth="1"/>
    <col min="10776" max="11008" width="9.140625" style="126"/>
    <col min="11009" max="11015" width="4.28515625" style="126" customWidth="1"/>
    <col min="11016" max="11016" width="3.42578125" style="126" customWidth="1"/>
    <col min="11017" max="11031" width="4.28515625" style="126" customWidth="1"/>
    <col min="11032" max="11264" width="9.140625" style="126"/>
    <col min="11265" max="11271" width="4.28515625" style="126" customWidth="1"/>
    <col min="11272" max="11272" width="3.42578125" style="126" customWidth="1"/>
    <col min="11273" max="11287" width="4.28515625" style="126" customWidth="1"/>
    <col min="11288" max="11520" width="9.140625" style="126"/>
    <col min="11521" max="11527" width="4.28515625" style="126" customWidth="1"/>
    <col min="11528" max="11528" width="3.42578125" style="126" customWidth="1"/>
    <col min="11529" max="11543" width="4.28515625" style="126" customWidth="1"/>
    <col min="11544" max="11776" width="9.140625" style="126"/>
    <col min="11777" max="11783" width="4.28515625" style="126" customWidth="1"/>
    <col min="11784" max="11784" width="3.42578125" style="126" customWidth="1"/>
    <col min="11785" max="11799" width="4.28515625" style="126" customWidth="1"/>
    <col min="11800" max="12032" width="9.140625" style="126"/>
    <col min="12033" max="12039" width="4.28515625" style="126" customWidth="1"/>
    <col min="12040" max="12040" width="3.42578125" style="126" customWidth="1"/>
    <col min="12041" max="12055" width="4.28515625" style="126" customWidth="1"/>
    <col min="12056" max="12288" width="9.140625" style="126"/>
    <col min="12289" max="12295" width="4.28515625" style="126" customWidth="1"/>
    <col min="12296" max="12296" width="3.42578125" style="126" customWidth="1"/>
    <col min="12297" max="12311" width="4.28515625" style="126" customWidth="1"/>
    <col min="12312" max="12544" width="9.140625" style="126"/>
    <col min="12545" max="12551" width="4.28515625" style="126" customWidth="1"/>
    <col min="12552" max="12552" width="3.42578125" style="126" customWidth="1"/>
    <col min="12553" max="12567" width="4.28515625" style="126" customWidth="1"/>
    <col min="12568" max="12800" width="9.140625" style="126"/>
    <col min="12801" max="12807" width="4.28515625" style="126" customWidth="1"/>
    <col min="12808" max="12808" width="3.42578125" style="126" customWidth="1"/>
    <col min="12809" max="12823" width="4.28515625" style="126" customWidth="1"/>
    <col min="12824" max="13056" width="9.140625" style="126"/>
    <col min="13057" max="13063" width="4.28515625" style="126" customWidth="1"/>
    <col min="13064" max="13064" width="3.42578125" style="126" customWidth="1"/>
    <col min="13065" max="13079" width="4.28515625" style="126" customWidth="1"/>
    <col min="13080" max="13312" width="9.140625" style="126"/>
    <col min="13313" max="13319" width="4.28515625" style="126" customWidth="1"/>
    <col min="13320" max="13320" width="3.42578125" style="126" customWidth="1"/>
    <col min="13321" max="13335" width="4.28515625" style="126" customWidth="1"/>
    <col min="13336" max="13568" width="9.140625" style="126"/>
    <col min="13569" max="13575" width="4.28515625" style="126" customWidth="1"/>
    <col min="13576" max="13576" width="3.42578125" style="126" customWidth="1"/>
    <col min="13577" max="13591" width="4.28515625" style="126" customWidth="1"/>
    <col min="13592" max="13824" width="9.140625" style="126"/>
    <col min="13825" max="13831" width="4.28515625" style="126" customWidth="1"/>
    <col min="13832" max="13832" width="3.42578125" style="126" customWidth="1"/>
    <col min="13833" max="13847" width="4.28515625" style="126" customWidth="1"/>
    <col min="13848" max="14080" width="9.140625" style="126"/>
    <col min="14081" max="14087" width="4.28515625" style="126" customWidth="1"/>
    <col min="14088" max="14088" width="3.42578125" style="126" customWidth="1"/>
    <col min="14089" max="14103" width="4.28515625" style="126" customWidth="1"/>
    <col min="14104" max="14336" width="9.140625" style="126"/>
    <col min="14337" max="14343" width="4.28515625" style="126" customWidth="1"/>
    <col min="14344" max="14344" width="3.42578125" style="126" customWidth="1"/>
    <col min="14345" max="14359" width="4.28515625" style="126" customWidth="1"/>
    <col min="14360" max="14592" width="9.140625" style="126"/>
    <col min="14593" max="14599" width="4.28515625" style="126" customWidth="1"/>
    <col min="14600" max="14600" width="3.42578125" style="126" customWidth="1"/>
    <col min="14601" max="14615" width="4.28515625" style="126" customWidth="1"/>
    <col min="14616" max="14848" width="9.140625" style="126"/>
    <col min="14849" max="14855" width="4.28515625" style="126" customWidth="1"/>
    <col min="14856" max="14856" width="3.42578125" style="126" customWidth="1"/>
    <col min="14857" max="14871" width="4.28515625" style="126" customWidth="1"/>
    <col min="14872" max="15104" width="9.140625" style="126"/>
    <col min="15105" max="15111" width="4.28515625" style="126" customWidth="1"/>
    <col min="15112" max="15112" width="3.42578125" style="126" customWidth="1"/>
    <col min="15113" max="15127" width="4.28515625" style="126" customWidth="1"/>
    <col min="15128" max="15360" width="9.140625" style="126"/>
    <col min="15361" max="15367" width="4.28515625" style="126" customWidth="1"/>
    <col min="15368" max="15368" width="3.42578125" style="126" customWidth="1"/>
    <col min="15369" max="15383" width="4.28515625" style="126" customWidth="1"/>
    <col min="15384" max="15616" width="9.140625" style="126"/>
    <col min="15617" max="15623" width="4.28515625" style="126" customWidth="1"/>
    <col min="15624" max="15624" width="3.42578125" style="126" customWidth="1"/>
    <col min="15625" max="15639" width="4.28515625" style="126" customWidth="1"/>
    <col min="15640" max="15872" width="9.140625" style="126"/>
    <col min="15873" max="15879" width="4.28515625" style="126" customWidth="1"/>
    <col min="15880" max="15880" width="3.42578125" style="126" customWidth="1"/>
    <col min="15881" max="15895" width="4.28515625" style="126" customWidth="1"/>
    <col min="15896" max="16128" width="9.140625" style="126"/>
    <col min="16129" max="16135" width="4.28515625" style="126" customWidth="1"/>
    <col min="16136" max="16136" width="3.42578125" style="126" customWidth="1"/>
    <col min="16137" max="16151" width="4.28515625" style="126" customWidth="1"/>
    <col min="16152" max="16384" width="9.140625" style="126"/>
  </cols>
  <sheetData>
    <row r="3" spans="1:23" ht="30.75">
      <c r="A3" s="402" t="s">
        <v>92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</row>
    <row r="4" spans="1:23" s="128" customFormat="1" ht="25.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3" s="128" customFormat="1" ht="14.25">
      <c r="A5" s="129"/>
      <c r="B5" s="130" t="s">
        <v>93</v>
      </c>
      <c r="C5" s="130"/>
      <c r="D5" s="131"/>
      <c r="E5" s="130"/>
      <c r="F5" s="131"/>
      <c r="G5" s="131"/>
      <c r="H5" s="131"/>
      <c r="I5" s="132" t="s">
        <v>38</v>
      </c>
      <c r="J5" s="133" t="str">
        <f>'Data Record (pitch)'!N1</f>
        <v>SPR15120012-1</v>
      </c>
      <c r="K5" s="134"/>
      <c r="L5" s="133"/>
      <c r="M5" s="133"/>
      <c r="N5" s="133"/>
      <c r="O5" s="133"/>
      <c r="P5" s="134"/>
      <c r="Q5" s="134"/>
      <c r="R5" s="134"/>
      <c r="S5" s="134"/>
      <c r="T5" s="135" t="s">
        <v>94</v>
      </c>
      <c r="U5" s="134"/>
    </row>
    <row r="6" spans="1:23" s="128" customFormat="1" ht="14.25">
      <c r="A6" s="129"/>
      <c r="B6" s="131"/>
      <c r="C6" s="131"/>
      <c r="D6" s="131"/>
      <c r="E6" s="130"/>
      <c r="F6" s="136"/>
      <c r="G6" s="136"/>
      <c r="H6" s="136"/>
      <c r="I6" s="130"/>
      <c r="J6" s="133"/>
      <c r="K6" s="134"/>
      <c r="L6" s="133"/>
      <c r="M6" s="133"/>
      <c r="N6" s="133"/>
      <c r="O6" s="133"/>
      <c r="P6" s="134"/>
      <c r="Q6" s="134"/>
      <c r="R6" s="134"/>
      <c r="S6" s="134"/>
      <c r="T6" s="134"/>
      <c r="U6" s="134"/>
    </row>
    <row r="7" spans="1:23" s="128" customFormat="1" ht="14.25">
      <c r="A7" s="129"/>
      <c r="B7" s="137" t="s">
        <v>95</v>
      </c>
      <c r="C7" s="137"/>
      <c r="D7" s="131"/>
      <c r="E7" s="131"/>
      <c r="F7" s="131"/>
      <c r="G7" s="131"/>
      <c r="H7" s="131"/>
      <c r="I7" s="132" t="s">
        <v>38</v>
      </c>
      <c r="J7" s="138"/>
      <c r="K7" s="134"/>
      <c r="L7" s="139"/>
      <c r="M7" s="139"/>
      <c r="N7" s="139"/>
      <c r="O7" s="139"/>
      <c r="P7" s="139"/>
      <c r="Q7" s="139"/>
      <c r="R7" s="139"/>
      <c r="S7" s="139"/>
      <c r="T7" s="140"/>
      <c r="U7" s="140"/>
      <c r="V7" s="141"/>
      <c r="W7" s="142"/>
    </row>
    <row r="8" spans="1:23" s="128" customFormat="1" ht="14.25">
      <c r="A8" s="129"/>
      <c r="B8" s="131"/>
      <c r="C8" s="137"/>
      <c r="D8" s="137"/>
      <c r="E8" s="131"/>
      <c r="F8" s="131"/>
      <c r="G8" s="131"/>
      <c r="H8" s="131"/>
      <c r="I8" s="132"/>
      <c r="J8" s="143"/>
      <c r="K8" s="138"/>
      <c r="L8" s="144"/>
      <c r="M8" s="139"/>
      <c r="N8" s="139"/>
      <c r="O8" s="139"/>
      <c r="P8" s="139"/>
      <c r="Q8" s="139"/>
      <c r="R8" s="139"/>
      <c r="S8" s="139"/>
      <c r="T8" s="139"/>
      <c r="U8" s="140"/>
      <c r="V8" s="141"/>
      <c r="W8" s="141"/>
    </row>
    <row r="9" spans="1:23" s="128" customFormat="1" ht="14.25">
      <c r="A9" s="129"/>
      <c r="B9" s="131"/>
      <c r="C9" s="137"/>
      <c r="D9" s="137"/>
      <c r="E9" s="131"/>
      <c r="F9" s="131"/>
      <c r="G9" s="131"/>
      <c r="H9" s="131"/>
      <c r="I9" s="132"/>
      <c r="J9" s="138"/>
      <c r="K9" s="138"/>
      <c r="L9" s="144"/>
      <c r="M9" s="139"/>
      <c r="N9" s="139"/>
      <c r="O9" s="139"/>
      <c r="P9" s="139"/>
      <c r="Q9" s="139"/>
      <c r="R9" s="139"/>
      <c r="S9" s="139"/>
      <c r="T9" s="139"/>
      <c r="U9" s="140"/>
      <c r="V9" s="141"/>
      <c r="W9" s="141"/>
    </row>
    <row r="10" spans="1:23" s="142" customFormat="1" ht="14.25">
      <c r="A10" s="145"/>
      <c r="B10" s="146"/>
      <c r="C10" s="146"/>
      <c r="D10" s="146"/>
      <c r="E10" s="146"/>
      <c r="F10" s="146"/>
      <c r="G10" s="147"/>
      <c r="H10" s="146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T10" s="149"/>
      <c r="U10" s="133"/>
      <c r="V10" s="150"/>
      <c r="W10" s="151"/>
    </row>
    <row r="11" spans="1:23" s="128" customFormat="1" ht="14.25">
      <c r="A11" s="129"/>
      <c r="B11" s="137"/>
      <c r="C11" s="137"/>
      <c r="D11" s="137"/>
      <c r="E11" s="137"/>
      <c r="F11" s="137"/>
      <c r="G11" s="152"/>
      <c r="H11" s="153"/>
      <c r="I11" s="140"/>
      <c r="J11" s="144"/>
      <c r="K11" s="139"/>
      <c r="L11" s="139"/>
      <c r="M11" s="139"/>
      <c r="N11" s="139"/>
      <c r="O11" s="139"/>
      <c r="P11" s="139"/>
      <c r="Q11" s="139"/>
      <c r="R11" s="139"/>
      <c r="S11" s="140"/>
      <c r="T11" s="140"/>
      <c r="U11" s="133"/>
      <c r="W11" s="154"/>
    </row>
    <row r="12" spans="1:23" s="128" customFormat="1" ht="14.25">
      <c r="A12" s="129"/>
      <c r="B12" s="137" t="s">
        <v>97</v>
      </c>
      <c r="C12" s="137"/>
      <c r="D12" s="137"/>
      <c r="E12" s="137"/>
      <c r="F12" s="131"/>
      <c r="G12" s="131"/>
      <c r="H12" s="131"/>
      <c r="I12" s="152" t="s">
        <v>38</v>
      </c>
      <c r="J12" s="143" t="str">
        <f>'Data Record (pitch)'!F6</f>
        <v>Taper Thread Ring</v>
      </c>
      <c r="K12" s="170"/>
      <c r="L12" s="143"/>
      <c r="M12" s="170"/>
      <c r="N12" s="134"/>
      <c r="O12" s="138"/>
      <c r="P12" s="138"/>
      <c r="Q12" s="138"/>
      <c r="R12" s="138"/>
      <c r="S12" s="138"/>
      <c r="T12" s="138"/>
      <c r="U12" s="138"/>
      <c r="V12" s="155"/>
      <c r="W12" s="155"/>
    </row>
    <row r="13" spans="1:23" s="128" customFormat="1" ht="14.25">
      <c r="A13" s="129"/>
      <c r="B13" s="156" t="s">
        <v>98</v>
      </c>
      <c r="C13" s="137"/>
      <c r="D13" s="137"/>
      <c r="E13" s="137"/>
      <c r="F13" s="131"/>
      <c r="G13" s="131"/>
      <c r="H13" s="131"/>
      <c r="I13" s="152" t="s">
        <v>38</v>
      </c>
      <c r="J13" s="143" t="str">
        <f>'Data Record (pitch)'!Q6</f>
        <v>OPI</v>
      </c>
      <c r="K13" s="170"/>
      <c r="L13" s="143"/>
      <c r="M13" s="170"/>
      <c r="N13" s="134"/>
      <c r="O13" s="138"/>
      <c r="P13" s="138"/>
      <c r="Q13" s="134"/>
      <c r="R13" s="134"/>
      <c r="S13" s="134"/>
      <c r="T13" s="134"/>
      <c r="U13" s="134"/>
    </row>
    <row r="14" spans="1:23" s="128" customFormat="1" ht="14.25">
      <c r="A14" s="129"/>
      <c r="B14" s="137" t="s">
        <v>99</v>
      </c>
      <c r="C14" s="137"/>
      <c r="D14" s="137"/>
      <c r="E14" s="137"/>
      <c r="F14" s="131"/>
      <c r="G14" s="131"/>
      <c r="H14" s="131"/>
      <c r="I14" s="152" t="s">
        <v>38</v>
      </c>
      <c r="J14" s="247">
        <f>'Data Record (pitch)'!D7</f>
        <v>123</v>
      </c>
      <c r="K14" s="143"/>
      <c r="L14" s="143"/>
      <c r="M14" s="170"/>
      <c r="N14" s="134"/>
      <c r="O14" s="138"/>
      <c r="P14" s="138"/>
      <c r="Q14" s="138"/>
      <c r="R14" s="138"/>
      <c r="S14" s="138"/>
      <c r="T14" s="137"/>
      <c r="U14" s="134"/>
      <c r="V14" s="155"/>
    </row>
    <row r="15" spans="1:23" s="128" customFormat="1" ht="14.25">
      <c r="A15" s="129"/>
      <c r="B15" s="137" t="s">
        <v>100</v>
      </c>
      <c r="C15" s="137"/>
      <c r="D15" s="137"/>
      <c r="E15" s="137"/>
      <c r="F15" s="131"/>
      <c r="G15" s="131"/>
      <c r="H15" s="131"/>
      <c r="I15" s="152" t="s">
        <v>38</v>
      </c>
      <c r="J15" s="403">
        <f>'Data Record (pitch)'!O7</f>
        <v>0</v>
      </c>
      <c r="K15" s="403"/>
      <c r="L15" s="403"/>
      <c r="M15" s="403"/>
      <c r="N15" s="134"/>
      <c r="O15" s="134"/>
      <c r="P15" s="138"/>
      <c r="Q15" s="134"/>
      <c r="R15" s="134"/>
      <c r="S15" s="134"/>
      <c r="T15" s="134"/>
      <c r="U15" s="134"/>
    </row>
    <row r="16" spans="1:23" s="128" customFormat="1" ht="14.25">
      <c r="A16" s="129"/>
      <c r="B16" s="137" t="s">
        <v>101</v>
      </c>
      <c r="C16" s="137"/>
      <c r="D16" s="137"/>
      <c r="E16" s="137"/>
      <c r="F16" s="131"/>
      <c r="G16" s="131"/>
      <c r="H16" s="131"/>
      <c r="I16" s="152" t="s">
        <v>38</v>
      </c>
      <c r="J16" s="248">
        <f>'Data Record (pitch)'!Y7</f>
        <v>0</v>
      </c>
      <c r="K16" s="143"/>
      <c r="L16" s="157"/>
      <c r="M16" s="170"/>
      <c r="N16" s="134"/>
      <c r="O16" s="134"/>
      <c r="P16" s="138"/>
      <c r="Q16" s="138"/>
      <c r="R16" s="138"/>
      <c r="S16" s="138"/>
      <c r="T16" s="158"/>
      <c r="U16" s="134"/>
      <c r="V16" s="155"/>
    </row>
    <row r="17" spans="1:23" s="128" customFormat="1" ht="14.25">
      <c r="A17" s="129"/>
      <c r="B17" s="137"/>
      <c r="C17" s="137"/>
      <c r="D17" s="137"/>
      <c r="E17" s="137"/>
      <c r="F17" s="131"/>
      <c r="G17" s="131"/>
      <c r="H17" s="131"/>
      <c r="I17" s="158"/>
      <c r="J17" s="157"/>
      <c r="K17" s="134"/>
      <c r="L17" s="134"/>
      <c r="M17" s="138"/>
      <c r="N17" s="134"/>
      <c r="O17" s="138"/>
      <c r="P17" s="138"/>
      <c r="Q17" s="138"/>
      <c r="R17" s="158"/>
      <c r="S17" s="134"/>
      <c r="T17" s="138"/>
      <c r="U17" s="134"/>
    </row>
    <row r="18" spans="1:23" s="128" customFormat="1" ht="14.25">
      <c r="A18" s="129"/>
      <c r="B18" s="156" t="s">
        <v>102</v>
      </c>
      <c r="C18" s="152"/>
      <c r="D18" s="131"/>
      <c r="E18" s="159"/>
      <c r="F18" s="131"/>
      <c r="G18" s="131"/>
      <c r="H18" s="131"/>
      <c r="I18" s="152" t="s">
        <v>38</v>
      </c>
      <c r="J18" s="404">
        <f>'Data Record (pitch)'!N2</f>
        <v>42355</v>
      </c>
      <c r="K18" s="404"/>
      <c r="L18" s="404"/>
      <c r="M18" s="404"/>
      <c r="N18" s="134"/>
      <c r="O18" s="138"/>
      <c r="P18" s="138"/>
      <c r="Q18" s="138"/>
      <c r="R18" s="158"/>
      <c r="S18" s="134"/>
      <c r="T18" s="138"/>
      <c r="U18" s="134"/>
    </row>
    <row r="19" spans="1:23" s="128" customFormat="1" ht="14.25">
      <c r="A19" s="129"/>
      <c r="B19" s="156" t="s">
        <v>103</v>
      </c>
      <c r="C19" s="152"/>
      <c r="D19" s="131"/>
      <c r="E19" s="156"/>
      <c r="F19" s="131"/>
      <c r="G19" s="131"/>
      <c r="H19" s="131"/>
      <c r="I19" s="152" t="s">
        <v>38</v>
      </c>
      <c r="J19" s="404">
        <f>'Data Record (pitch)'!W2</f>
        <v>42358</v>
      </c>
      <c r="K19" s="404"/>
      <c r="L19" s="404"/>
      <c r="M19" s="404"/>
      <c r="N19" s="134"/>
      <c r="O19" s="138"/>
      <c r="P19" s="138"/>
      <c r="Q19" s="138"/>
      <c r="R19" s="158"/>
      <c r="S19" s="134"/>
      <c r="T19" s="138"/>
      <c r="U19" s="134"/>
    </row>
    <row r="20" spans="1:23" s="128" customFormat="1" ht="14.25">
      <c r="A20" s="129"/>
      <c r="B20" s="130" t="s">
        <v>104</v>
      </c>
      <c r="C20" s="152"/>
      <c r="D20" s="131"/>
      <c r="E20" s="130"/>
      <c r="F20" s="131"/>
      <c r="G20" s="131"/>
      <c r="H20" s="131"/>
      <c r="I20" s="152" t="s">
        <v>38</v>
      </c>
      <c r="J20" s="405">
        <f>J19</f>
        <v>42358</v>
      </c>
      <c r="K20" s="405"/>
      <c r="L20" s="405"/>
      <c r="M20" s="405"/>
      <c r="N20" s="134"/>
      <c r="O20" s="138"/>
      <c r="P20" s="138"/>
      <c r="Q20" s="138"/>
      <c r="R20" s="158"/>
      <c r="S20" s="134"/>
      <c r="T20" s="138"/>
      <c r="U20" s="134"/>
    </row>
    <row r="21" spans="1:23" s="128" customFormat="1" ht="14.25">
      <c r="A21" s="129"/>
      <c r="B21" s="130"/>
      <c r="C21" s="152"/>
      <c r="D21" s="131"/>
      <c r="E21" s="130"/>
      <c r="F21" s="131"/>
      <c r="G21" s="152"/>
      <c r="H21" s="131"/>
      <c r="I21" s="160"/>
      <c r="J21" s="160"/>
      <c r="K21" s="160"/>
      <c r="L21" s="138"/>
      <c r="M21" s="138"/>
      <c r="N21" s="134"/>
      <c r="O21" s="138"/>
      <c r="P21" s="158"/>
      <c r="Q21" s="134"/>
      <c r="R21" s="138"/>
      <c r="S21" s="134"/>
      <c r="T21" s="134"/>
      <c r="U21" s="134"/>
    </row>
    <row r="22" spans="1:23" s="128" customFormat="1" ht="14.25">
      <c r="A22" s="129"/>
      <c r="B22" s="137" t="s">
        <v>105</v>
      </c>
      <c r="C22" s="137"/>
      <c r="D22" s="137"/>
      <c r="E22" s="137"/>
      <c r="F22" s="137"/>
      <c r="G22" s="137"/>
      <c r="H22" s="137"/>
      <c r="I22" s="161"/>
      <c r="J22" s="138"/>
      <c r="K22" s="138"/>
      <c r="L22" s="131"/>
      <c r="M22" s="134"/>
      <c r="N22" s="134"/>
      <c r="O22" s="162"/>
      <c r="P22" s="162"/>
      <c r="Q22" s="134"/>
      <c r="R22" s="134"/>
      <c r="S22" s="134"/>
      <c r="T22" s="134"/>
      <c r="U22" s="134"/>
    </row>
    <row r="23" spans="1:23" s="128" customFormat="1" ht="14.25">
      <c r="A23" s="129"/>
      <c r="B23" s="137" t="s">
        <v>106</v>
      </c>
      <c r="C23" s="137"/>
      <c r="D23" s="137"/>
      <c r="E23" s="137"/>
      <c r="F23" s="131"/>
      <c r="G23" s="131"/>
      <c r="H23" s="131"/>
      <c r="I23" s="132" t="s">
        <v>38</v>
      </c>
      <c r="J23" s="163" t="s">
        <v>107</v>
      </c>
      <c r="K23" s="134" t="s">
        <v>108</v>
      </c>
      <c r="L23" s="134"/>
      <c r="M23" s="134"/>
      <c r="N23" s="134"/>
      <c r="O23" s="134"/>
      <c r="P23" s="134"/>
      <c r="Q23" s="134"/>
      <c r="R23" s="134"/>
      <c r="S23" s="134"/>
      <c r="T23" s="134"/>
      <c r="U23" s="134"/>
    </row>
    <row r="24" spans="1:23" s="128" customFormat="1" ht="14.25">
      <c r="A24" s="129"/>
      <c r="B24" s="137" t="s">
        <v>109</v>
      </c>
      <c r="C24" s="130"/>
      <c r="D24" s="130"/>
      <c r="E24" s="130"/>
      <c r="F24" s="131"/>
      <c r="G24" s="131"/>
      <c r="H24" s="131"/>
      <c r="I24" s="136" t="s">
        <v>38</v>
      </c>
      <c r="J24" s="164">
        <v>0.5</v>
      </c>
      <c r="K24" s="134" t="s">
        <v>110</v>
      </c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42"/>
      <c r="W24" s="142"/>
    </row>
    <row r="25" spans="1:23" s="128" customFormat="1" ht="14.25">
      <c r="A25" s="129"/>
      <c r="B25" s="137" t="s">
        <v>111</v>
      </c>
      <c r="C25" s="130"/>
      <c r="D25" s="130"/>
      <c r="E25" s="130"/>
      <c r="F25" s="131"/>
      <c r="G25" s="131"/>
      <c r="H25" s="131"/>
      <c r="I25" s="136" t="s">
        <v>38</v>
      </c>
      <c r="J25" s="163" t="s">
        <v>112</v>
      </c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42"/>
      <c r="W25" s="142"/>
    </row>
    <row r="26" spans="1:23" s="128" customFormat="1" ht="14.25">
      <c r="A26" s="129"/>
      <c r="B26" s="131"/>
      <c r="C26" s="131"/>
      <c r="D26" s="130"/>
      <c r="E26" s="130"/>
      <c r="F26" s="130"/>
      <c r="G26" s="130"/>
      <c r="H26" s="136"/>
      <c r="I26" s="134"/>
      <c r="J26" s="134"/>
      <c r="K26" s="134"/>
      <c r="L26" s="134"/>
      <c r="M26" s="134"/>
      <c r="N26" s="138"/>
      <c r="O26" s="134"/>
      <c r="P26" s="134"/>
      <c r="Q26" s="134"/>
      <c r="R26" s="134"/>
      <c r="S26" s="134"/>
      <c r="T26" s="134"/>
      <c r="U26" s="133"/>
      <c r="V26" s="142"/>
    </row>
    <row r="27" spans="1:23" s="128" customFormat="1" ht="14.25">
      <c r="A27" s="145"/>
      <c r="B27" s="130"/>
      <c r="C27" s="131"/>
      <c r="D27" s="130"/>
      <c r="E27" s="130"/>
      <c r="F27" s="130"/>
      <c r="G27" s="130"/>
      <c r="H27" s="134"/>
      <c r="I27" s="133"/>
      <c r="J27" s="134"/>
      <c r="K27" s="134"/>
      <c r="L27" s="134"/>
      <c r="M27" s="133"/>
      <c r="N27" s="134"/>
      <c r="O27" s="134"/>
      <c r="P27" s="134"/>
      <c r="Q27" s="134"/>
      <c r="R27" s="134"/>
      <c r="S27" s="134"/>
      <c r="T27" s="133"/>
      <c r="U27" s="134"/>
    </row>
    <row r="28" spans="1:23" s="128" customFormat="1" ht="14.25">
      <c r="A28" s="129"/>
      <c r="B28" s="131" t="s">
        <v>113</v>
      </c>
      <c r="C28" s="165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6"/>
      <c r="V28" s="167"/>
      <c r="W28" s="168"/>
    </row>
    <row r="29" spans="1:23" s="128" customFormat="1" ht="14.25">
      <c r="A29" s="129"/>
      <c r="B29" s="169"/>
      <c r="C29" s="170" t="s">
        <v>114</v>
      </c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29"/>
    </row>
    <row r="30" spans="1:23" s="128" customFormat="1" ht="14.25">
      <c r="A30" s="129"/>
      <c r="B30" s="134" t="s">
        <v>115</v>
      </c>
      <c r="C30" s="134"/>
      <c r="D30" s="129"/>
      <c r="E30" s="129"/>
      <c r="F30" s="129"/>
      <c r="G30" s="171"/>
      <c r="H30" s="171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29"/>
    </row>
    <row r="31" spans="1:23" s="128" customFormat="1" ht="14.25">
      <c r="A31" s="129"/>
      <c r="B31" s="134" t="s">
        <v>116</v>
      </c>
      <c r="C31" s="134"/>
      <c r="D31" s="171"/>
      <c r="E31" s="171"/>
      <c r="F31" s="171"/>
      <c r="G31" s="171"/>
      <c r="H31" s="171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29"/>
    </row>
    <row r="32" spans="1:23" s="128" customFormat="1" ht="14.25">
      <c r="A32" s="129"/>
      <c r="B32" s="134" t="s">
        <v>117</v>
      </c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29"/>
    </row>
    <row r="33" spans="1:32" s="128" customFormat="1" ht="21.75">
      <c r="A33" s="129"/>
      <c r="B33" s="134" t="s">
        <v>118</v>
      </c>
      <c r="C33" s="134"/>
      <c r="X33" s="172">
        <v>1</v>
      </c>
      <c r="Y33" s="173" t="s">
        <v>119</v>
      </c>
    </row>
    <row r="34" spans="1:32" s="128" customFormat="1" ht="21.75">
      <c r="A34" s="129"/>
      <c r="B34" s="134" t="s">
        <v>120</v>
      </c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29"/>
      <c r="X34" s="172">
        <v>3</v>
      </c>
      <c r="Y34" s="47" t="s">
        <v>121</v>
      </c>
    </row>
    <row r="35" spans="1:32" s="128" customFormat="1" ht="23.25">
      <c r="A35" s="129"/>
      <c r="B35" s="174"/>
      <c r="C35" s="165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29"/>
    </row>
    <row r="36" spans="1:32" s="128" customFormat="1" ht="21.75">
      <c r="A36" s="129"/>
      <c r="B36" s="46"/>
      <c r="C36" s="46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29"/>
      <c r="T36" s="129"/>
      <c r="X36" s="175">
        <v>8</v>
      </c>
      <c r="Y36" s="47" t="s">
        <v>39</v>
      </c>
      <c r="AA36" s="48"/>
      <c r="AB36" s="49"/>
      <c r="AC36" s="1"/>
      <c r="AD36" s="1"/>
      <c r="AE36" s="1"/>
      <c r="AF36" s="1"/>
    </row>
    <row r="37" spans="1:32" s="128" customFormat="1" ht="21.75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X37" s="176">
        <v>9</v>
      </c>
      <c r="Y37" s="47" t="s">
        <v>40</v>
      </c>
      <c r="AA37" s="48"/>
      <c r="AB37" s="49"/>
      <c r="AC37" s="1"/>
      <c r="AD37" s="1"/>
      <c r="AE37" s="1"/>
      <c r="AF37" s="1"/>
    </row>
    <row r="38" spans="1:32" s="128" customFormat="1" ht="21.75">
      <c r="A38" s="129"/>
      <c r="B38" s="130" t="s">
        <v>122</v>
      </c>
      <c r="C38" s="134"/>
      <c r="D38" s="134"/>
      <c r="E38" s="134"/>
      <c r="F38" s="406">
        <f>J19+1</f>
        <v>42359</v>
      </c>
      <c r="G38" s="406"/>
      <c r="H38" s="406"/>
      <c r="I38" s="406"/>
      <c r="J38" s="177"/>
      <c r="K38" s="134"/>
      <c r="L38" s="407" t="s">
        <v>123</v>
      </c>
      <c r="M38" s="407"/>
      <c r="N38" s="407"/>
      <c r="O38" s="407"/>
      <c r="P38" s="148"/>
      <c r="Q38" s="148"/>
      <c r="R38" s="148"/>
      <c r="S38" s="148"/>
      <c r="T38" s="148"/>
      <c r="U38" s="134"/>
      <c r="X38" s="175">
        <v>10</v>
      </c>
      <c r="Y38" s="47" t="s">
        <v>41</v>
      </c>
      <c r="AA38" s="48"/>
      <c r="AB38" s="49"/>
      <c r="AC38" s="1"/>
      <c r="AD38" s="1"/>
      <c r="AE38" s="1"/>
      <c r="AF38" s="1"/>
    </row>
    <row r="39" spans="1:32" s="128" customFormat="1" ht="21.75">
      <c r="A39" s="178"/>
      <c r="B39" s="134"/>
      <c r="C39" s="134"/>
      <c r="D39" s="134"/>
      <c r="E39" s="134"/>
      <c r="F39" s="134"/>
      <c r="G39" s="134"/>
      <c r="H39" s="134"/>
      <c r="I39" s="161"/>
      <c r="J39" s="134"/>
      <c r="K39" s="134"/>
      <c r="L39" s="134"/>
      <c r="M39" s="134"/>
      <c r="N39" s="179"/>
      <c r="O39" s="180">
        <v>3</v>
      </c>
      <c r="P39" s="181" t="str">
        <f>IF(O39=1,"( Mr.Sombut Srikampa )",IF(O39=3,"( Mr. Natthaphol Boonmee )"))</f>
        <v>( Mr. Natthaphol Boonmee )</v>
      </c>
      <c r="Q39" s="181"/>
      <c r="R39" s="181"/>
      <c r="S39" s="181"/>
      <c r="T39" s="181"/>
      <c r="U39" s="130"/>
      <c r="V39" s="182"/>
      <c r="W39" s="182"/>
      <c r="X39" s="176">
        <v>11</v>
      </c>
      <c r="Y39" s="47" t="s">
        <v>42</v>
      </c>
      <c r="AA39" s="48"/>
      <c r="AB39" s="49"/>
      <c r="AC39" s="1"/>
      <c r="AD39" s="1"/>
      <c r="AE39" s="1"/>
      <c r="AF39" s="1"/>
    </row>
    <row r="40" spans="1:32" s="128" customFormat="1" ht="21.75">
      <c r="A40" s="129"/>
      <c r="B40" s="130" t="s">
        <v>124</v>
      </c>
      <c r="C40" s="130"/>
      <c r="D40" s="130"/>
      <c r="E40" s="134"/>
      <c r="F40" s="133" t="s">
        <v>42</v>
      </c>
      <c r="G40" s="177"/>
      <c r="H40" s="177"/>
      <c r="I40" s="177"/>
      <c r="J40" s="134"/>
      <c r="K40" s="134"/>
      <c r="L40" s="133"/>
      <c r="M40" s="134"/>
      <c r="N40" s="134"/>
      <c r="O40" s="134"/>
      <c r="P40" s="399" t="s">
        <v>125</v>
      </c>
      <c r="Q40" s="399"/>
      <c r="R40" s="399"/>
      <c r="S40" s="399"/>
      <c r="T40" s="399"/>
      <c r="U40" s="130"/>
      <c r="V40" s="182"/>
      <c r="W40" s="182"/>
      <c r="X40" s="172"/>
      <c r="Y40" s="47"/>
      <c r="Z40"/>
      <c r="AA40" s="5"/>
      <c r="AB40" s="5"/>
      <c r="AC40" s="5"/>
    </row>
    <row r="41" spans="1:32" s="128" customFormat="1" ht="14.25">
      <c r="A41" s="129"/>
      <c r="D41" s="400"/>
      <c r="E41" s="400"/>
      <c r="F41" s="400"/>
      <c r="G41" s="400"/>
      <c r="H41" s="400"/>
      <c r="K41" s="145"/>
      <c r="L41" s="129"/>
      <c r="M41" s="129"/>
      <c r="N41" s="161"/>
      <c r="O41" s="161"/>
      <c r="P41" s="161"/>
      <c r="Q41" s="161"/>
      <c r="R41" s="161"/>
      <c r="S41" s="183"/>
      <c r="T41" s="182"/>
      <c r="U41" s="182"/>
      <c r="V41" s="182"/>
      <c r="W41" s="182"/>
    </row>
    <row r="42" spans="1:32" s="128" customFormat="1" ht="14.25">
      <c r="A42" s="401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184"/>
    </row>
  </sheetData>
  <mergeCells count="10">
    <mergeCell ref="P40:T40"/>
    <mergeCell ref="D41:H41"/>
    <mergeCell ref="A42:T42"/>
    <mergeCell ref="A3:V3"/>
    <mergeCell ref="J15:M15"/>
    <mergeCell ref="J18:M18"/>
    <mergeCell ref="J19:M19"/>
    <mergeCell ref="J20:M20"/>
    <mergeCell ref="F38:I38"/>
    <mergeCell ref="L38:O38"/>
  </mergeCells>
  <pageMargins left="0.19685039370078741" right="0.19685039370078741" top="0.51181102362204722" bottom="0" header="0.31496062992125984" footer="0"/>
  <pageSetup orientation="portrait" horizontalDpi="360" verticalDpi="360" r:id="rId1"/>
  <headerFooter>
    <oddFooter>&amp;R&amp;"Gulim,Regular"&amp;10SP-FM-04-15 REV.0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62"/>
  <sheetViews>
    <sheetView view="pageBreakPreview" zoomScaleNormal="100" zoomScaleSheetLayoutView="100" workbookViewId="0">
      <selection activeCell="M23" sqref="M23:N23"/>
    </sheetView>
  </sheetViews>
  <sheetFormatPr defaultColWidth="10.42578125" defaultRowHeight="20.25"/>
  <cols>
    <col min="1" max="22" width="4.28515625" style="126" customWidth="1"/>
    <col min="23" max="23" width="4.85546875" style="126" customWidth="1"/>
    <col min="24" max="29" width="5.28515625" style="126" customWidth="1"/>
    <col min="30" max="256" width="10.42578125" style="126"/>
    <col min="257" max="278" width="4.28515625" style="126" customWidth="1"/>
    <col min="279" max="279" width="4.85546875" style="126" customWidth="1"/>
    <col min="280" max="285" width="5.28515625" style="126" customWidth="1"/>
    <col min="286" max="512" width="10.42578125" style="126"/>
    <col min="513" max="534" width="4.28515625" style="126" customWidth="1"/>
    <col min="535" max="535" width="4.85546875" style="126" customWidth="1"/>
    <col min="536" max="541" width="5.28515625" style="126" customWidth="1"/>
    <col min="542" max="768" width="10.42578125" style="126"/>
    <col min="769" max="790" width="4.28515625" style="126" customWidth="1"/>
    <col min="791" max="791" width="4.85546875" style="126" customWidth="1"/>
    <col min="792" max="797" width="5.28515625" style="126" customWidth="1"/>
    <col min="798" max="1024" width="10.42578125" style="126"/>
    <col min="1025" max="1046" width="4.28515625" style="126" customWidth="1"/>
    <col min="1047" max="1047" width="4.85546875" style="126" customWidth="1"/>
    <col min="1048" max="1053" width="5.28515625" style="126" customWidth="1"/>
    <col min="1054" max="1280" width="10.42578125" style="126"/>
    <col min="1281" max="1302" width="4.28515625" style="126" customWidth="1"/>
    <col min="1303" max="1303" width="4.85546875" style="126" customWidth="1"/>
    <col min="1304" max="1309" width="5.28515625" style="126" customWidth="1"/>
    <col min="1310" max="1536" width="10.42578125" style="126"/>
    <col min="1537" max="1558" width="4.28515625" style="126" customWidth="1"/>
    <col min="1559" max="1559" width="4.85546875" style="126" customWidth="1"/>
    <col min="1560" max="1565" width="5.28515625" style="126" customWidth="1"/>
    <col min="1566" max="1792" width="10.42578125" style="126"/>
    <col min="1793" max="1814" width="4.28515625" style="126" customWidth="1"/>
    <col min="1815" max="1815" width="4.85546875" style="126" customWidth="1"/>
    <col min="1816" max="1821" width="5.28515625" style="126" customWidth="1"/>
    <col min="1822" max="2048" width="10.42578125" style="126"/>
    <col min="2049" max="2070" width="4.28515625" style="126" customWidth="1"/>
    <col min="2071" max="2071" width="4.85546875" style="126" customWidth="1"/>
    <col min="2072" max="2077" width="5.28515625" style="126" customWidth="1"/>
    <col min="2078" max="2304" width="10.42578125" style="126"/>
    <col min="2305" max="2326" width="4.28515625" style="126" customWidth="1"/>
    <col min="2327" max="2327" width="4.85546875" style="126" customWidth="1"/>
    <col min="2328" max="2333" width="5.28515625" style="126" customWidth="1"/>
    <col min="2334" max="2560" width="10.42578125" style="126"/>
    <col min="2561" max="2582" width="4.28515625" style="126" customWidth="1"/>
    <col min="2583" max="2583" width="4.85546875" style="126" customWidth="1"/>
    <col min="2584" max="2589" width="5.28515625" style="126" customWidth="1"/>
    <col min="2590" max="2816" width="10.42578125" style="126"/>
    <col min="2817" max="2838" width="4.28515625" style="126" customWidth="1"/>
    <col min="2839" max="2839" width="4.85546875" style="126" customWidth="1"/>
    <col min="2840" max="2845" width="5.28515625" style="126" customWidth="1"/>
    <col min="2846" max="3072" width="10.42578125" style="126"/>
    <col min="3073" max="3094" width="4.28515625" style="126" customWidth="1"/>
    <col min="3095" max="3095" width="4.85546875" style="126" customWidth="1"/>
    <col min="3096" max="3101" width="5.28515625" style="126" customWidth="1"/>
    <col min="3102" max="3328" width="10.42578125" style="126"/>
    <col min="3329" max="3350" width="4.28515625" style="126" customWidth="1"/>
    <col min="3351" max="3351" width="4.85546875" style="126" customWidth="1"/>
    <col min="3352" max="3357" width="5.28515625" style="126" customWidth="1"/>
    <col min="3358" max="3584" width="10.42578125" style="126"/>
    <col min="3585" max="3606" width="4.28515625" style="126" customWidth="1"/>
    <col min="3607" max="3607" width="4.85546875" style="126" customWidth="1"/>
    <col min="3608" max="3613" width="5.28515625" style="126" customWidth="1"/>
    <col min="3614" max="3840" width="10.42578125" style="126"/>
    <col min="3841" max="3862" width="4.28515625" style="126" customWidth="1"/>
    <col min="3863" max="3863" width="4.85546875" style="126" customWidth="1"/>
    <col min="3864" max="3869" width="5.28515625" style="126" customWidth="1"/>
    <col min="3870" max="4096" width="10.42578125" style="126"/>
    <col min="4097" max="4118" width="4.28515625" style="126" customWidth="1"/>
    <col min="4119" max="4119" width="4.85546875" style="126" customWidth="1"/>
    <col min="4120" max="4125" width="5.28515625" style="126" customWidth="1"/>
    <col min="4126" max="4352" width="10.42578125" style="126"/>
    <col min="4353" max="4374" width="4.28515625" style="126" customWidth="1"/>
    <col min="4375" max="4375" width="4.85546875" style="126" customWidth="1"/>
    <col min="4376" max="4381" width="5.28515625" style="126" customWidth="1"/>
    <col min="4382" max="4608" width="10.42578125" style="126"/>
    <col min="4609" max="4630" width="4.28515625" style="126" customWidth="1"/>
    <col min="4631" max="4631" width="4.85546875" style="126" customWidth="1"/>
    <col min="4632" max="4637" width="5.28515625" style="126" customWidth="1"/>
    <col min="4638" max="4864" width="10.42578125" style="126"/>
    <col min="4865" max="4886" width="4.28515625" style="126" customWidth="1"/>
    <col min="4887" max="4887" width="4.85546875" style="126" customWidth="1"/>
    <col min="4888" max="4893" width="5.28515625" style="126" customWidth="1"/>
    <col min="4894" max="5120" width="10.42578125" style="126"/>
    <col min="5121" max="5142" width="4.28515625" style="126" customWidth="1"/>
    <col min="5143" max="5143" width="4.85546875" style="126" customWidth="1"/>
    <col min="5144" max="5149" width="5.28515625" style="126" customWidth="1"/>
    <col min="5150" max="5376" width="10.42578125" style="126"/>
    <col min="5377" max="5398" width="4.28515625" style="126" customWidth="1"/>
    <col min="5399" max="5399" width="4.85546875" style="126" customWidth="1"/>
    <col min="5400" max="5405" width="5.28515625" style="126" customWidth="1"/>
    <col min="5406" max="5632" width="10.42578125" style="126"/>
    <col min="5633" max="5654" width="4.28515625" style="126" customWidth="1"/>
    <col min="5655" max="5655" width="4.85546875" style="126" customWidth="1"/>
    <col min="5656" max="5661" width="5.28515625" style="126" customWidth="1"/>
    <col min="5662" max="5888" width="10.42578125" style="126"/>
    <col min="5889" max="5910" width="4.28515625" style="126" customWidth="1"/>
    <col min="5911" max="5911" width="4.85546875" style="126" customWidth="1"/>
    <col min="5912" max="5917" width="5.28515625" style="126" customWidth="1"/>
    <col min="5918" max="6144" width="10.42578125" style="126"/>
    <col min="6145" max="6166" width="4.28515625" style="126" customWidth="1"/>
    <col min="6167" max="6167" width="4.85546875" style="126" customWidth="1"/>
    <col min="6168" max="6173" width="5.28515625" style="126" customWidth="1"/>
    <col min="6174" max="6400" width="10.42578125" style="126"/>
    <col min="6401" max="6422" width="4.28515625" style="126" customWidth="1"/>
    <col min="6423" max="6423" width="4.85546875" style="126" customWidth="1"/>
    <col min="6424" max="6429" width="5.28515625" style="126" customWidth="1"/>
    <col min="6430" max="6656" width="10.42578125" style="126"/>
    <col min="6657" max="6678" width="4.28515625" style="126" customWidth="1"/>
    <col min="6679" max="6679" width="4.85546875" style="126" customWidth="1"/>
    <col min="6680" max="6685" width="5.28515625" style="126" customWidth="1"/>
    <col min="6686" max="6912" width="10.42578125" style="126"/>
    <col min="6913" max="6934" width="4.28515625" style="126" customWidth="1"/>
    <col min="6935" max="6935" width="4.85546875" style="126" customWidth="1"/>
    <col min="6936" max="6941" width="5.28515625" style="126" customWidth="1"/>
    <col min="6942" max="7168" width="10.42578125" style="126"/>
    <col min="7169" max="7190" width="4.28515625" style="126" customWidth="1"/>
    <col min="7191" max="7191" width="4.85546875" style="126" customWidth="1"/>
    <col min="7192" max="7197" width="5.28515625" style="126" customWidth="1"/>
    <col min="7198" max="7424" width="10.42578125" style="126"/>
    <col min="7425" max="7446" width="4.28515625" style="126" customWidth="1"/>
    <col min="7447" max="7447" width="4.85546875" style="126" customWidth="1"/>
    <col min="7448" max="7453" width="5.28515625" style="126" customWidth="1"/>
    <col min="7454" max="7680" width="10.42578125" style="126"/>
    <col min="7681" max="7702" width="4.28515625" style="126" customWidth="1"/>
    <col min="7703" max="7703" width="4.85546875" style="126" customWidth="1"/>
    <col min="7704" max="7709" width="5.28515625" style="126" customWidth="1"/>
    <col min="7710" max="7936" width="10.42578125" style="126"/>
    <col min="7937" max="7958" width="4.28515625" style="126" customWidth="1"/>
    <col min="7959" max="7959" width="4.85546875" style="126" customWidth="1"/>
    <col min="7960" max="7965" width="5.28515625" style="126" customWidth="1"/>
    <col min="7966" max="8192" width="10.42578125" style="126"/>
    <col min="8193" max="8214" width="4.28515625" style="126" customWidth="1"/>
    <col min="8215" max="8215" width="4.85546875" style="126" customWidth="1"/>
    <col min="8216" max="8221" width="5.28515625" style="126" customWidth="1"/>
    <col min="8222" max="8448" width="10.42578125" style="126"/>
    <col min="8449" max="8470" width="4.28515625" style="126" customWidth="1"/>
    <col min="8471" max="8471" width="4.85546875" style="126" customWidth="1"/>
    <col min="8472" max="8477" width="5.28515625" style="126" customWidth="1"/>
    <col min="8478" max="8704" width="10.42578125" style="126"/>
    <col min="8705" max="8726" width="4.28515625" style="126" customWidth="1"/>
    <col min="8727" max="8727" width="4.85546875" style="126" customWidth="1"/>
    <col min="8728" max="8733" width="5.28515625" style="126" customWidth="1"/>
    <col min="8734" max="8960" width="10.42578125" style="126"/>
    <col min="8961" max="8982" width="4.28515625" style="126" customWidth="1"/>
    <col min="8983" max="8983" width="4.85546875" style="126" customWidth="1"/>
    <col min="8984" max="8989" width="5.28515625" style="126" customWidth="1"/>
    <col min="8990" max="9216" width="10.42578125" style="126"/>
    <col min="9217" max="9238" width="4.28515625" style="126" customWidth="1"/>
    <col min="9239" max="9239" width="4.85546875" style="126" customWidth="1"/>
    <col min="9240" max="9245" width="5.28515625" style="126" customWidth="1"/>
    <col min="9246" max="9472" width="10.42578125" style="126"/>
    <col min="9473" max="9494" width="4.28515625" style="126" customWidth="1"/>
    <col min="9495" max="9495" width="4.85546875" style="126" customWidth="1"/>
    <col min="9496" max="9501" width="5.28515625" style="126" customWidth="1"/>
    <col min="9502" max="9728" width="10.42578125" style="126"/>
    <col min="9729" max="9750" width="4.28515625" style="126" customWidth="1"/>
    <col min="9751" max="9751" width="4.85546875" style="126" customWidth="1"/>
    <col min="9752" max="9757" width="5.28515625" style="126" customWidth="1"/>
    <col min="9758" max="9984" width="10.42578125" style="126"/>
    <col min="9985" max="10006" width="4.28515625" style="126" customWidth="1"/>
    <col min="10007" max="10007" width="4.85546875" style="126" customWidth="1"/>
    <col min="10008" max="10013" width="5.28515625" style="126" customWidth="1"/>
    <col min="10014" max="10240" width="10.42578125" style="126"/>
    <col min="10241" max="10262" width="4.28515625" style="126" customWidth="1"/>
    <col min="10263" max="10263" width="4.85546875" style="126" customWidth="1"/>
    <col min="10264" max="10269" width="5.28515625" style="126" customWidth="1"/>
    <col min="10270" max="10496" width="10.42578125" style="126"/>
    <col min="10497" max="10518" width="4.28515625" style="126" customWidth="1"/>
    <col min="10519" max="10519" width="4.85546875" style="126" customWidth="1"/>
    <col min="10520" max="10525" width="5.28515625" style="126" customWidth="1"/>
    <col min="10526" max="10752" width="10.42578125" style="126"/>
    <col min="10753" max="10774" width="4.28515625" style="126" customWidth="1"/>
    <col min="10775" max="10775" width="4.85546875" style="126" customWidth="1"/>
    <col min="10776" max="10781" width="5.28515625" style="126" customWidth="1"/>
    <col min="10782" max="11008" width="10.42578125" style="126"/>
    <col min="11009" max="11030" width="4.28515625" style="126" customWidth="1"/>
    <col min="11031" max="11031" width="4.85546875" style="126" customWidth="1"/>
    <col min="11032" max="11037" width="5.28515625" style="126" customWidth="1"/>
    <col min="11038" max="11264" width="10.42578125" style="126"/>
    <col min="11265" max="11286" width="4.28515625" style="126" customWidth="1"/>
    <col min="11287" max="11287" width="4.85546875" style="126" customWidth="1"/>
    <col min="11288" max="11293" width="5.28515625" style="126" customWidth="1"/>
    <col min="11294" max="11520" width="10.42578125" style="126"/>
    <col min="11521" max="11542" width="4.28515625" style="126" customWidth="1"/>
    <col min="11543" max="11543" width="4.85546875" style="126" customWidth="1"/>
    <col min="11544" max="11549" width="5.28515625" style="126" customWidth="1"/>
    <col min="11550" max="11776" width="10.42578125" style="126"/>
    <col min="11777" max="11798" width="4.28515625" style="126" customWidth="1"/>
    <col min="11799" max="11799" width="4.85546875" style="126" customWidth="1"/>
    <col min="11800" max="11805" width="5.28515625" style="126" customWidth="1"/>
    <col min="11806" max="12032" width="10.42578125" style="126"/>
    <col min="12033" max="12054" width="4.28515625" style="126" customWidth="1"/>
    <col min="12055" max="12055" width="4.85546875" style="126" customWidth="1"/>
    <col min="12056" max="12061" width="5.28515625" style="126" customWidth="1"/>
    <col min="12062" max="12288" width="10.42578125" style="126"/>
    <col min="12289" max="12310" width="4.28515625" style="126" customWidth="1"/>
    <col min="12311" max="12311" width="4.85546875" style="126" customWidth="1"/>
    <col min="12312" max="12317" width="5.28515625" style="126" customWidth="1"/>
    <col min="12318" max="12544" width="10.42578125" style="126"/>
    <col min="12545" max="12566" width="4.28515625" style="126" customWidth="1"/>
    <col min="12567" max="12567" width="4.85546875" style="126" customWidth="1"/>
    <col min="12568" max="12573" width="5.28515625" style="126" customWidth="1"/>
    <col min="12574" max="12800" width="10.42578125" style="126"/>
    <col min="12801" max="12822" width="4.28515625" style="126" customWidth="1"/>
    <col min="12823" max="12823" width="4.85546875" style="126" customWidth="1"/>
    <col min="12824" max="12829" width="5.28515625" style="126" customWidth="1"/>
    <col min="12830" max="13056" width="10.42578125" style="126"/>
    <col min="13057" max="13078" width="4.28515625" style="126" customWidth="1"/>
    <col min="13079" max="13079" width="4.85546875" style="126" customWidth="1"/>
    <col min="13080" max="13085" width="5.28515625" style="126" customWidth="1"/>
    <col min="13086" max="13312" width="10.42578125" style="126"/>
    <col min="13313" max="13334" width="4.28515625" style="126" customWidth="1"/>
    <col min="13335" max="13335" width="4.85546875" style="126" customWidth="1"/>
    <col min="13336" max="13341" width="5.28515625" style="126" customWidth="1"/>
    <col min="13342" max="13568" width="10.42578125" style="126"/>
    <col min="13569" max="13590" width="4.28515625" style="126" customWidth="1"/>
    <col min="13591" max="13591" width="4.85546875" style="126" customWidth="1"/>
    <col min="13592" max="13597" width="5.28515625" style="126" customWidth="1"/>
    <col min="13598" max="13824" width="10.42578125" style="126"/>
    <col min="13825" max="13846" width="4.28515625" style="126" customWidth="1"/>
    <col min="13847" max="13847" width="4.85546875" style="126" customWidth="1"/>
    <col min="13848" max="13853" width="5.28515625" style="126" customWidth="1"/>
    <col min="13854" max="14080" width="10.42578125" style="126"/>
    <col min="14081" max="14102" width="4.28515625" style="126" customWidth="1"/>
    <col min="14103" max="14103" width="4.85546875" style="126" customWidth="1"/>
    <col min="14104" max="14109" width="5.28515625" style="126" customWidth="1"/>
    <col min="14110" max="14336" width="10.42578125" style="126"/>
    <col min="14337" max="14358" width="4.28515625" style="126" customWidth="1"/>
    <col min="14359" max="14359" width="4.85546875" style="126" customWidth="1"/>
    <col min="14360" max="14365" width="5.28515625" style="126" customWidth="1"/>
    <col min="14366" max="14592" width="10.42578125" style="126"/>
    <col min="14593" max="14614" width="4.28515625" style="126" customWidth="1"/>
    <col min="14615" max="14615" width="4.85546875" style="126" customWidth="1"/>
    <col min="14616" max="14621" width="5.28515625" style="126" customWidth="1"/>
    <col min="14622" max="14848" width="10.42578125" style="126"/>
    <col min="14849" max="14870" width="4.28515625" style="126" customWidth="1"/>
    <col min="14871" max="14871" width="4.85546875" style="126" customWidth="1"/>
    <col min="14872" max="14877" width="5.28515625" style="126" customWidth="1"/>
    <col min="14878" max="15104" width="10.42578125" style="126"/>
    <col min="15105" max="15126" width="4.28515625" style="126" customWidth="1"/>
    <col min="15127" max="15127" width="4.85546875" style="126" customWidth="1"/>
    <col min="15128" max="15133" width="5.28515625" style="126" customWidth="1"/>
    <col min="15134" max="15360" width="10.42578125" style="126"/>
    <col min="15361" max="15382" width="4.28515625" style="126" customWidth="1"/>
    <col min="15383" max="15383" width="4.85546875" style="126" customWidth="1"/>
    <col min="15384" max="15389" width="5.28515625" style="126" customWidth="1"/>
    <col min="15390" max="15616" width="10.42578125" style="126"/>
    <col min="15617" max="15638" width="4.28515625" style="126" customWidth="1"/>
    <col min="15639" max="15639" width="4.85546875" style="126" customWidth="1"/>
    <col min="15640" max="15645" width="5.28515625" style="126" customWidth="1"/>
    <col min="15646" max="15872" width="10.42578125" style="126"/>
    <col min="15873" max="15894" width="4.28515625" style="126" customWidth="1"/>
    <col min="15895" max="15895" width="4.85546875" style="126" customWidth="1"/>
    <col min="15896" max="15901" width="5.28515625" style="126" customWidth="1"/>
    <col min="15902" max="16128" width="10.42578125" style="126"/>
    <col min="16129" max="16150" width="4.28515625" style="126" customWidth="1"/>
    <col min="16151" max="16151" width="4.85546875" style="126" customWidth="1"/>
    <col min="16152" max="16157" width="5.28515625" style="126" customWidth="1"/>
    <col min="16158" max="16384" width="10.42578125" style="126"/>
  </cols>
  <sheetData>
    <row r="1" spans="1:36" s="285" customFormat="1" ht="13.5" customHeight="1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</row>
    <row r="2" spans="1:36" s="285" customFormat="1" ht="13.5" customHeight="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</row>
    <row r="3" spans="1:36" s="285" customFormat="1" ht="34.5" customHeight="1">
      <c r="A3" s="402" t="s">
        <v>126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</row>
    <row r="4" spans="1:36" s="285" customFormat="1" ht="18.75" customHeight="1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8"/>
      <c r="V4" s="128"/>
    </row>
    <row r="5" spans="1:36" s="285" customFormat="1" ht="17.25" customHeight="1">
      <c r="A5" s="129"/>
      <c r="B5" s="130" t="s">
        <v>93</v>
      </c>
      <c r="C5" s="130"/>
      <c r="D5" s="131"/>
      <c r="E5" s="130"/>
      <c r="F5" s="126"/>
      <c r="G5" s="132" t="s">
        <v>38</v>
      </c>
      <c r="H5" s="133" t="str">
        <f>[1]Certificate!J5</f>
        <v>SPR15120012-1</v>
      </c>
      <c r="I5" s="134"/>
      <c r="J5" s="134"/>
      <c r="K5" s="134"/>
      <c r="L5" s="133"/>
      <c r="M5" s="133"/>
      <c r="N5" s="133"/>
      <c r="O5" s="133"/>
      <c r="P5" s="134"/>
      <c r="Q5" s="134"/>
      <c r="R5" s="126"/>
      <c r="S5" s="131" t="s">
        <v>127</v>
      </c>
      <c r="T5" s="126"/>
      <c r="U5" s="131"/>
      <c r="V5" s="131"/>
    </row>
    <row r="6" spans="1:36" s="285" customFormat="1" ht="18" customHeight="1">
      <c r="A6" s="129"/>
      <c r="B6" s="174"/>
      <c r="C6" s="185"/>
      <c r="D6" s="185"/>
      <c r="E6" s="183"/>
      <c r="F6" s="186"/>
      <c r="G6" s="186"/>
      <c r="H6" s="186"/>
      <c r="I6" s="187"/>
      <c r="J6" s="50"/>
      <c r="K6" s="46"/>
      <c r="L6" s="50"/>
      <c r="M6" s="50"/>
      <c r="N6" s="133"/>
      <c r="O6" s="133"/>
      <c r="P6" s="134"/>
      <c r="Q6" s="134"/>
      <c r="R6" s="134"/>
      <c r="S6" s="126"/>
      <c r="T6" s="126"/>
      <c r="U6" s="126"/>
      <c r="V6" s="128"/>
    </row>
    <row r="7" spans="1:36" s="285" customFormat="1" ht="17.25" customHeight="1">
      <c r="A7" s="129"/>
      <c r="B7" s="188"/>
      <c r="C7" s="189"/>
      <c r="D7" s="185"/>
      <c r="E7" s="185"/>
      <c r="F7" s="185"/>
      <c r="G7" s="185"/>
      <c r="H7" s="185"/>
      <c r="I7" s="172"/>
      <c r="J7" s="190"/>
      <c r="K7" s="46"/>
      <c r="L7" s="191"/>
      <c r="M7" s="191"/>
      <c r="N7" s="139"/>
      <c r="O7" s="139"/>
      <c r="P7" s="139"/>
      <c r="Q7" s="139"/>
      <c r="R7" s="139"/>
      <c r="S7" s="139"/>
      <c r="T7" s="140"/>
      <c r="U7" s="140"/>
      <c r="V7" s="141"/>
    </row>
    <row r="8" spans="1:36" s="285" customFormat="1" ht="13.5" customHeight="1">
      <c r="A8" s="129"/>
      <c r="B8" s="174"/>
      <c r="C8" s="189"/>
      <c r="D8" s="189"/>
      <c r="E8" s="185"/>
      <c r="F8" s="185"/>
      <c r="G8" s="420" t="s">
        <v>186</v>
      </c>
      <c r="H8" s="420"/>
      <c r="I8" s="420"/>
      <c r="J8" s="420"/>
      <c r="K8" s="420"/>
      <c r="L8" s="420"/>
      <c r="M8" s="420"/>
      <c r="N8" s="420"/>
      <c r="O8" s="420"/>
      <c r="P8" s="420"/>
      <c r="Q8" s="139"/>
      <c r="R8" s="139"/>
      <c r="S8" s="139"/>
      <c r="T8" s="139"/>
      <c r="U8" s="140"/>
      <c r="V8" s="141"/>
    </row>
    <row r="9" spans="1:36" s="285" customFormat="1" ht="13.5" customHeight="1">
      <c r="A9" s="129"/>
      <c r="B9" s="174"/>
      <c r="C9" s="189"/>
      <c r="D9" s="189"/>
      <c r="E9" s="185"/>
      <c r="F9" s="185"/>
      <c r="G9" s="420"/>
      <c r="H9" s="420"/>
      <c r="I9" s="420"/>
      <c r="J9" s="420"/>
      <c r="K9" s="420"/>
      <c r="L9" s="420"/>
      <c r="M9" s="420"/>
      <c r="N9" s="420"/>
      <c r="O9" s="420"/>
      <c r="P9" s="420"/>
      <c r="Q9" s="139"/>
      <c r="R9" s="139"/>
      <c r="S9" s="139"/>
      <c r="T9" s="139"/>
      <c r="U9" s="140"/>
      <c r="V9" s="141"/>
    </row>
    <row r="10" spans="1:36" s="142" customFormat="1" ht="18.75" customHeight="1">
      <c r="A10" s="145"/>
      <c r="B10" s="192"/>
      <c r="C10" s="193"/>
      <c r="D10" s="193"/>
      <c r="E10" s="193"/>
      <c r="F10" s="193"/>
      <c r="G10" s="194"/>
      <c r="H10" s="195"/>
      <c r="I10" s="196"/>
      <c r="J10" s="196"/>
      <c r="K10" s="196"/>
      <c r="L10" s="196"/>
      <c r="M10" s="196"/>
      <c r="N10" s="148"/>
      <c r="O10" s="148"/>
      <c r="P10" s="148"/>
      <c r="Q10" s="197"/>
      <c r="R10" s="145"/>
      <c r="S10" s="198"/>
      <c r="T10" s="141"/>
      <c r="V10" s="150"/>
      <c r="W10" s="151"/>
    </row>
    <row r="11" spans="1:36" s="134" customFormat="1" ht="18.75" customHeight="1">
      <c r="B11" s="417" t="s">
        <v>97</v>
      </c>
      <c r="C11" s="418"/>
      <c r="D11" s="418"/>
      <c r="E11" s="418"/>
      <c r="F11" s="418"/>
      <c r="G11" s="419"/>
      <c r="H11" s="421" t="s">
        <v>99</v>
      </c>
      <c r="I11" s="421"/>
      <c r="J11" s="421"/>
      <c r="K11" s="421"/>
      <c r="L11" s="417" t="s">
        <v>128</v>
      </c>
      <c r="M11" s="418"/>
      <c r="N11" s="419"/>
      <c r="O11" s="417" t="s">
        <v>129</v>
      </c>
      <c r="P11" s="418"/>
      <c r="Q11" s="418"/>
      <c r="R11" s="419"/>
      <c r="S11" s="421" t="s">
        <v>130</v>
      </c>
      <c r="T11" s="421"/>
      <c r="U11" s="421"/>
      <c r="V11" s="421"/>
      <c r="W11" s="170"/>
    </row>
    <row r="12" spans="1:36" s="134" customFormat="1" ht="16.5" customHeight="1">
      <c r="B12" s="414" t="s">
        <v>187</v>
      </c>
      <c r="C12" s="415"/>
      <c r="D12" s="415"/>
      <c r="E12" s="415"/>
      <c r="F12" s="415"/>
      <c r="G12" s="415"/>
      <c r="H12" s="415" t="s">
        <v>188</v>
      </c>
      <c r="I12" s="415"/>
      <c r="J12" s="415"/>
      <c r="K12" s="415"/>
      <c r="L12" s="416" t="s">
        <v>189</v>
      </c>
      <c r="M12" s="416"/>
      <c r="N12" s="416"/>
      <c r="O12" s="415" t="s">
        <v>190</v>
      </c>
      <c r="P12" s="415"/>
      <c r="Q12" s="415"/>
      <c r="R12" s="415"/>
      <c r="S12" s="409">
        <v>42853</v>
      </c>
      <c r="T12" s="409"/>
      <c r="U12" s="409"/>
      <c r="V12" s="409"/>
      <c r="W12" s="138"/>
      <c r="X12" s="138"/>
      <c r="Y12" s="138"/>
      <c r="Z12" s="19"/>
    </row>
    <row r="13" spans="1:36" s="134" customFormat="1" ht="16.5" customHeight="1"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6"/>
      <c r="M13" s="416"/>
      <c r="N13" s="416"/>
      <c r="O13" s="415"/>
      <c r="P13" s="415"/>
      <c r="Q13" s="415"/>
      <c r="R13" s="415"/>
      <c r="S13" s="409"/>
      <c r="T13" s="409"/>
      <c r="U13" s="409"/>
      <c r="V13" s="409"/>
      <c r="AH13" s="138"/>
      <c r="AI13" s="138"/>
    </row>
    <row r="14" spans="1:36" s="134" customFormat="1" ht="16.5" customHeight="1"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96"/>
      <c r="M14" s="296"/>
      <c r="N14" s="296"/>
      <c r="O14" s="252"/>
      <c r="P14" s="252"/>
      <c r="Q14" s="252"/>
      <c r="R14" s="252"/>
      <c r="S14" s="297"/>
      <c r="T14" s="297"/>
      <c r="U14" s="297"/>
      <c r="V14" s="297"/>
      <c r="AH14" s="138"/>
      <c r="AI14" s="138"/>
    </row>
    <row r="15" spans="1:36" s="134" customFormat="1" ht="16.5" customHeight="1">
      <c r="B15" s="159" t="s">
        <v>131</v>
      </c>
      <c r="C15" s="251"/>
      <c r="D15" s="251"/>
      <c r="E15" s="251"/>
      <c r="F15" s="251"/>
      <c r="G15" s="251"/>
      <c r="H15" s="251"/>
      <c r="I15" s="251"/>
      <c r="J15" s="251"/>
      <c r="AI15" s="138"/>
      <c r="AJ15" s="138"/>
    </row>
    <row r="16" spans="1:36" s="134" customFormat="1" ht="16.5" customHeight="1">
      <c r="C16" s="134" t="s">
        <v>132</v>
      </c>
      <c r="P16" s="138"/>
      <c r="Q16" s="138"/>
      <c r="R16" s="138"/>
      <c r="S16" s="138"/>
      <c r="T16" s="158"/>
      <c r="V16" s="138"/>
      <c r="AI16" s="138"/>
      <c r="AJ16" s="138"/>
    </row>
    <row r="17" spans="1:35" s="134" customFormat="1" ht="16.5" customHeight="1">
      <c r="B17" s="165" t="s">
        <v>191</v>
      </c>
      <c r="C17" s="252"/>
      <c r="D17" s="252"/>
      <c r="E17" s="252"/>
      <c r="F17" s="252"/>
      <c r="G17" s="252"/>
      <c r="H17" s="252"/>
      <c r="P17" s="138"/>
      <c r="Q17" s="138"/>
      <c r="R17" s="158"/>
      <c r="T17" s="138"/>
      <c r="AG17" s="138"/>
      <c r="AH17" s="138"/>
    </row>
    <row r="18" spans="1:35" s="128" customFormat="1" ht="16.5" customHeight="1">
      <c r="A18" s="129"/>
      <c r="B18" s="203"/>
      <c r="C18" s="204"/>
      <c r="D18" s="185"/>
      <c r="E18" s="201"/>
      <c r="F18" s="185"/>
      <c r="G18" s="185"/>
      <c r="H18" s="185"/>
      <c r="I18" s="202"/>
      <c r="J18" s="410"/>
      <c r="K18" s="411"/>
      <c r="L18" s="411"/>
      <c r="M18" s="411"/>
      <c r="O18" s="138"/>
      <c r="P18" s="138"/>
      <c r="Q18" s="138"/>
      <c r="R18" s="158"/>
      <c r="S18" s="129"/>
      <c r="T18" s="200"/>
      <c r="U18" s="129"/>
      <c r="Y18" s="286"/>
      <c r="Z18" s="287"/>
      <c r="AF18" s="288"/>
      <c r="AG18" s="288"/>
      <c r="AH18" s="288"/>
    </row>
    <row r="19" spans="1:35" s="128" customFormat="1" ht="18.75" customHeight="1">
      <c r="A19" s="129"/>
      <c r="B19" s="203"/>
      <c r="C19" s="204"/>
      <c r="D19" s="185"/>
      <c r="E19" s="205"/>
      <c r="F19" s="185"/>
      <c r="G19" s="185"/>
      <c r="H19" s="185"/>
      <c r="I19" s="202"/>
      <c r="J19" s="410"/>
      <c r="K19" s="411"/>
      <c r="L19" s="411"/>
      <c r="M19" s="411"/>
      <c r="O19" s="138"/>
      <c r="P19" s="138"/>
      <c r="Q19" s="138"/>
      <c r="R19" s="158"/>
      <c r="S19" s="129"/>
      <c r="T19" s="200"/>
      <c r="U19" s="129"/>
      <c r="AG19" s="155"/>
      <c r="AH19" s="155"/>
    </row>
    <row r="20" spans="1:35" s="128" customFormat="1" ht="16.5" customHeight="1">
      <c r="A20" s="129"/>
      <c r="B20" s="206"/>
      <c r="C20" s="204"/>
      <c r="D20" s="185"/>
      <c r="E20" s="183"/>
      <c r="F20" s="185"/>
      <c r="G20" s="185"/>
      <c r="H20" s="185"/>
      <c r="I20" s="202"/>
      <c r="J20" s="411"/>
      <c r="K20" s="411"/>
      <c r="L20" s="411"/>
      <c r="M20" s="411"/>
      <c r="O20" s="138"/>
      <c r="P20" s="138"/>
      <c r="Q20" s="138"/>
      <c r="R20" s="158"/>
      <c r="S20" s="129"/>
      <c r="T20" s="200"/>
      <c r="U20" s="129"/>
      <c r="AG20" s="155"/>
      <c r="AH20" s="155"/>
    </row>
    <row r="21" spans="1:35" s="128" customFormat="1" ht="16.5" customHeight="1">
      <c r="A21" s="129"/>
      <c r="B21" s="206"/>
      <c r="C21" s="204"/>
      <c r="D21" s="185"/>
      <c r="E21" s="183"/>
      <c r="F21" s="185"/>
      <c r="G21" s="204"/>
      <c r="H21" s="207"/>
      <c r="I21" s="208"/>
      <c r="J21" s="208"/>
      <c r="K21" s="208"/>
      <c r="L21" s="190"/>
      <c r="M21" s="190"/>
      <c r="O21" s="138"/>
      <c r="P21" s="158"/>
      <c r="Q21" s="129"/>
      <c r="R21" s="200"/>
      <c r="S21" s="129"/>
      <c r="AF21" s="155"/>
    </row>
    <row r="22" spans="1:35" s="128" customFormat="1" ht="16.5" customHeight="1">
      <c r="A22" s="129"/>
      <c r="B22" s="188"/>
      <c r="C22" s="189"/>
      <c r="D22" s="189"/>
      <c r="E22" s="189"/>
      <c r="F22" s="189"/>
      <c r="G22" s="189"/>
      <c r="H22" s="209"/>
      <c r="I22" s="175"/>
      <c r="J22" s="190"/>
      <c r="K22" s="190"/>
      <c r="L22" s="210"/>
      <c r="M22" s="46"/>
      <c r="O22" s="162"/>
      <c r="P22" s="162"/>
      <c r="Q22" s="129"/>
      <c r="R22" s="129"/>
      <c r="S22" s="129"/>
      <c r="AF22" s="289"/>
      <c r="AG22" s="289"/>
    </row>
    <row r="23" spans="1:35" s="128" customFormat="1" ht="16.5" customHeight="1">
      <c r="A23" s="129"/>
      <c r="B23" s="188"/>
      <c r="C23" s="189"/>
      <c r="D23" s="189"/>
      <c r="E23" s="189"/>
      <c r="F23" s="185"/>
      <c r="G23" s="185"/>
      <c r="H23" s="185"/>
      <c r="I23" s="172"/>
      <c r="J23" s="211"/>
      <c r="K23" s="46"/>
      <c r="L23" s="46"/>
      <c r="M23" s="46"/>
      <c r="O23" s="134"/>
      <c r="P23" s="134"/>
      <c r="Q23" s="134"/>
      <c r="R23" s="134"/>
      <c r="S23" s="129"/>
      <c r="T23" s="129"/>
      <c r="U23" s="129"/>
      <c r="AG23" s="290"/>
      <c r="AH23" s="291"/>
      <c r="AI23" s="142"/>
    </row>
    <row r="24" spans="1:35" s="128" customFormat="1" ht="16.5" customHeight="1">
      <c r="A24" s="129"/>
      <c r="B24" s="188"/>
      <c r="C24" s="183"/>
      <c r="D24" s="183"/>
      <c r="E24" s="183"/>
      <c r="F24" s="185"/>
      <c r="G24" s="185"/>
      <c r="H24" s="185"/>
      <c r="I24" s="212"/>
      <c r="J24" s="211"/>
      <c r="K24" s="46"/>
      <c r="L24" s="46"/>
      <c r="M24" s="46"/>
      <c r="O24" s="134"/>
      <c r="P24" s="134"/>
      <c r="Q24" s="134"/>
      <c r="R24" s="134"/>
      <c r="S24" s="129"/>
      <c r="T24" s="129"/>
      <c r="U24" s="129"/>
      <c r="V24" s="142"/>
      <c r="W24" s="142"/>
      <c r="AC24" s="292"/>
      <c r="AD24" s="292"/>
      <c r="AE24" s="292"/>
      <c r="AF24" s="292"/>
      <c r="AG24" s="290"/>
      <c r="AH24" s="291"/>
      <c r="AI24" s="142"/>
    </row>
    <row r="25" spans="1:35" s="128" customFormat="1" ht="16.5" customHeight="1">
      <c r="A25" s="129"/>
      <c r="B25" s="188"/>
      <c r="C25" s="183"/>
      <c r="D25" s="183"/>
      <c r="E25" s="183"/>
      <c r="F25" s="185"/>
      <c r="G25" s="185"/>
      <c r="H25" s="185"/>
      <c r="I25" s="212"/>
      <c r="J25" s="211"/>
      <c r="K25" s="46"/>
      <c r="L25" s="46"/>
      <c r="M25" s="46"/>
      <c r="O25" s="134"/>
      <c r="P25" s="134"/>
      <c r="Q25" s="134"/>
      <c r="R25" s="134"/>
      <c r="S25" s="129"/>
      <c r="T25" s="129"/>
      <c r="U25" s="129"/>
      <c r="V25" s="142"/>
      <c r="W25" s="142"/>
      <c r="AC25" s="292"/>
      <c r="AD25" s="292"/>
      <c r="AE25" s="292"/>
      <c r="AF25" s="292"/>
      <c r="AG25" s="290"/>
      <c r="AH25" s="291"/>
      <c r="AI25" s="142"/>
    </row>
    <row r="26" spans="1:35" s="128" customFormat="1" ht="16.5" customHeight="1">
      <c r="A26" s="129"/>
      <c r="B26" s="174"/>
      <c r="C26" s="185"/>
      <c r="D26" s="183"/>
      <c r="E26" s="183"/>
      <c r="F26" s="183"/>
      <c r="G26" s="183"/>
      <c r="H26" s="186"/>
      <c r="I26" s="46"/>
      <c r="J26" s="46"/>
      <c r="K26" s="46"/>
      <c r="L26" s="46"/>
      <c r="M26" s="46"/>
      <c r="N26" s="200"/>
      <c r="O26" s="129"/>
      <c r="P26" s="129"/>
      <c r="Q26" s="129"/>
      <c r="R26" s="129"/>
      <c r="S26" s="129"/>
      <c r="T26" s="129"/>
      <c r="U26" s="142"/>
      <c r="V26" s="142"/>
      <c r="AA26" s="292"/>
      <c r="AB26" s="292"/>
      <c r="AC26" s="292"/>
      <c r="AD26" s="292"/>
      <c r="AE26" s="292"/>
      <c r="AF26" s="290"/>
      <c r="AG26" s="291"/>
      <c r="AH26" s="142"/>
    </row>
    <row r="27" spans="1:35" s="128" customFormat="1" ht="16.5" customHeight="1">
      <c r="A27" s="145"/>
      <c r="B27" s="206"/>
      <c r="C27" s="185"/>
      <c r="D27" s="183"/>
      <c r="E27" s="183"/>
      <c r="F27" s="183"/>
      <c r="G27" s="183"/>
      <c r="H27" s="213"/>
      <c r="I27" s="214"/>
      <c r="J27" s="213"/>
      <c r="K27" s="213"/>
      <c r="L27" s="213"/>
      <c r="M27" s="214"/>
      <c r="N27" s="213"/>
      <c r="O27" s="213"/>
      <c r="P27" s="213"/>
      <c r="Q27" s="213"/>
      <c r="R27" s="213"/>
      <c r="S27" s="213"/>
      <c r="T27" s="214"/>
    </row>
    <row r="28" spans="1:35" s="128" customFormat="1" ht="16.5" customHeight="1">
      <c r="A28" s="129"/>
      <c r="V28" s="215"/>
    </row>
    <row r="29" spans="1:35" s="128" customFormat="1" ht="16.5" customHeight="1">
      <c r="A29" s="129"/>
      <c r="V29" s="215"/>
    </row>
    <row r="30" spans="1:35" s="128" customFormat="1" ht="16.5" customHeight="1">
      <c r="A30" s="129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167"/>
      <c r="W30" s="167"/>
      <c r="X30" s="168"/>
      <c r="Y30" s="168"/>
    </row>
    <row r="31" spans="1:35" s="128" customFormat="1" ht="16.5" customHeight="1">
      <c r="A31" s="129"/>
      <c r="P31" s="199"/>
      <c r="Q31" s="199"/>
      <c r="R31" s="199"/>
      <c r="S31" s="199"/>
      <c r="T31" s="199"/>
      <c r="U31" s="167"/>
      <c r="V31" s="167"/>
      <c r="W31" s="168"/>
      <c r="X31" s="168"/>
    </row>
    <row r="32" spans="1:35" s="128" customFormat="1" ht="16.5" customHeight="1">
      <c r="A32" s="129"/>
      <c r="P32" s="134"/>
      <c r="Q32" s="134"/>
      <c r="R32" s="134"/>
      <c r="S32" s="134"/>
      <c r="T32" s="129"/>
    </row>
    <row r="33" spans="1:26" s="128" customFormat="1" ht="16.5" customHeight="1">
      <c r="A33" s="129"/>
      <c r="P33" s="134"/>
      <c r="Q33" s="134"/>
      <c r="R33" s="134"/>
      <c r="S33" s="134"/>
      <c r="T33" s="129"/>
    </row>
    <row r="34" spans="1:26" s="128" customFormat="1" ht="16.5" customHeight="1">
      <c r="A34" s="129"/>
      <c r="B34" s="165"/>
      <c r="C34" s="252"/>
      <c r="D34" s="252"/>
      <c r="E34" s="252"/>
      <c r="F34" s="252"/>
      <c r="G34" s="252"/>
      <c r="H34" s="252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29"/>
    </row>
    <row r="35" spans="1:26" s="128" customFormat="1" ht="16.5" customHeight="1">
      <c r="A35" s="129"/>
      <c r="B35" s="206"/>
      <c r="C35" s="216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45"/>
    </row>
    <row r="36" spans="1:26" s="128" customFormat="1" ht="16.5" customHeight="1">
      <c r="A36" s="129"/>
      <c r="B36" s="50"/>
      <c r="C36" s="50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45"/>
      <c r="T36" s="145"/>
    </row>
    <row r="37" spans="1:26" s="128" customFormat="1" ht="16.5" customHeight="1">
      <c r="A37" s="129"/>
      <c r="B37" s="217"/>
      <c r="C37" s="253"/>
      <c r="D37" s="252"/>
      <c r="E37" s="252"/>
      <c r="F37" s="252"/>
      <c r="G37" s="252"/>
      <c r="H37" s="252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45"/>
      <c r="T37" s="145"/>
    </row>
    <row r="38" spans="1:26" s="128" customFormat="1" ht="16.5" customHeight="1">
      <c r="A38" s="129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</row>
    <row r="39" spans="1:26" s="128" customFormat="1" ht="16.5" customHeight="1">
      <c r="A39" s="129"/>
      <c r="B39" s="206"/>
      <c r="C39" s="142"/>
      <c r="D39" s="142"/>
      <c r="E39" s="142"/>
      <c r="F39" s="412"/>
      <c r="G39" s="412"/>
      <c r="H39" s="412"/>
      <c r="I39" s="412"/>
      <c r="J39" s="218"/>
      <c r="K39" s="142"/>
      <c r="L39" s="413"/>
      <c r="M39" s="413"/>
      <c r="N39" s="413"/>
      <c r="O39" s="413"/>
      <c r="P39" s="133"/>
      <c r="Q39" s="133"/>
      <c r="R39" s="133"/>
      <c r="S39" s="133"/>
      <c r="T39" s="133"/>
    </row>
    <row r="40" spans="1:26" s="128" customFormat="1" ht="16.5" customHeight="1">
      <c r="A40" s="178"/>
      <c r="B40" s="142"/>
      <c r="C40" s="142"/>
      <c r="D40" s="142"/>
      <c r="E40" s="142"/>
      <c r="F40" s="50"/>
      <c r="G40" s="50"/>
      <c r="H40" s="50"/>
      <c r="I40" s="253"/>
      <c r="J40" s="145"/>
      <c r="K40" s="142"/>
      <c r="L40" s="145"/>
      <c r="M40" s="145"/>
      <c r="N40" s="219"/>
      <c r="O40" s="220"/>
      <c r="P40" s="253"/>
      <c r="Q40" s="253"/>
      <c r="R40" s="253"/>
      <c r="S40" s="253"/>
      <c r="T40" s="253"/>
      <c r="U40" s="182"/>
      <c r="V40" s="182"/>
      <c r="W40" s="182"/>
      <c r="X40" s="182"/>
      <c r="Y40" s="182"/>
      <c r="Z40" s="182"/>
    </row>
    <row r="41" spans="1:26" s="128" customFormat="1" ht="16.5" customHeight="1">
      <c r="A41" s="129"/>
      <c r="B41" s="206"/>
      <c r="C41" s="183"/>
      <c r="D41" s="183"/>
      <c r="E41" s="142"/>
      <c r="F41" s="50"/>
      <c r="G41" s="221"/>
      <c r="H41" s="221"/>
      <c r="I41" s="221"/>
      <c r="J41" s="142"/>
      <c r="K41" s="142"/>
      <c r="L41" s="145"/>
      <c r="M41" s="145"/>
      <c r="N41" s="145"/>
      <c r="O41" s="145"/>
      <c r="P41" s="408"/>
      <c r="Q41" s="408"/>
      <c r="R41" s="408"/>
      <c r="S41" s="408"/>
      <c r="T41" s="408"/>
      <c r="U41" s="182"/>
      <c r="V41" s="182"/>
      <c r="W41" s="182"/>
      <c r="X41" s="182"/>
      <c r="Y41" s="182"/>
      <c r="Z41" s="182"/>
    </row>
    <row r="42" spans="1:26" s="128" customFormat="1" ht="16.5" customHeight="1">
      <c r="A42" s="129"/>
      <c r="D42" s="400"/>
      <c r="E42" s="400"/>
      <c r="F42" s="400"/>
      <c r="G42" s="400"/>
      <c r="H42" s="400"/>
      <c r="K42" s="145"/>
      <c r="L42" s="129"/>
      <c r="M42" s="129"/>
      <c r="N42" s="251"/>
      <c r="O42" s="251"/>
      <c r="P42" s="251"/>
      <c r="Q42" s="251"/>
      <c r="R42" s="251"/>
      <c r="S42" s="183"/>
      <c r="T42" s="182"/>
      <c r="U42" s="182"/>
      <c r="V42" s="182"/>
      <c r="W42" s="182"/>
      <c r="X42" s="182"/>
      <c r="Y42" s="182"/>
    </row>
    <row r="43" spans="1:26" s="128" customFormat="1" ht="16.5" customHeight="1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01"/>
      <c r="O43" s="401"/>
      <c r="P43" s="401"/>
      <c r="Q43" s="401"/>
      <c r="R43" s="401"/>
      <c r="S43" s="401"/>
      <c r="T43" s="401"/>
      <c r="U43" s="184"/>
    </row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</sheetData>
  <mergeCells count="20">
    <mergeCell ref="A3:V3"/>
    <mergeCell ref="B11:G11"/>
    <mergeCell ref="G8:P9"/>
    <mergeCell ref="H11:K11"/>
    <mergeCell ref="L11:N11"/>
    <mergeCell ref="O11:R11"/>
    <mergeCell ref="S11:V11"/>
    <mergeCell ref="P41:T41"/>
    <mergeCell ref="D42:H42"/>
    <mergeCell ref="A43:T43"/>
    <mergeCell ref="S12:V13"/>
    <mergeCell ref="J18:M18"/>
    <mergeCell ref="J19:M19"/>
    <mergeCell ref="F39:I39"/>
    <mergeCell ref="L39:O39"/>
    <mergeCell ref="J20:M20"/>
    <mergeCell ref="B12:G13"/>
    <mergeCell ref="H12:K13"/>
    <mergeCell ref="L12:N13"/>
    <mergeCell ref="O12:R13"/>
  </mergeCells>
  <pageMargins left="0.31496062992125984" right="0.31496062992125984" top="0.98425196850393704" bottom="0.19685039370078741" header="0.31496062992125984" footer="0.11811023622047245"/>
  <pageSetup orientation="portrait" horizontalDpi="360" verticalDpi="36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O37"/>
  <sheetViews>
    <sheetView view="pageBreakPreview" zoomScaleNormal="100" zoomScaleSheetLayoutView="100" workbookViewId="0">
      <selection activeCell="S26" sqref="S26:U28"/>
    </sheetView>
  </sheetViews>
  <sheetFormatPr defaultColWidth="9.140625" defaultRowHeight="12"/>
  <cols>
    <col min="1" max="42" width="4.42578125" style="224" customWidth="1"/>
    <col min="43" max="16384" width="9.140625" style="224"/>
  </cols>
  <sheetData>
    <row r="1" spans="1:25" s="276" customFormat="1" ht="17.100000000000001" customHeight="1">
      <c r="A1" s="222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</row>
    <row r="2" spans="1:25" s="276" customFormat="1" ht="17.100000000000001" customHeight="1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</row>
    <row r="3" spans="1:25" s="276" customFormat="1" ht="34.5" customHeight="1">
      <c r="A3" s="429" t="s">
        <v>133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</row>
    <row r="4" spans="1:25" s="276" customFormat="1" ht="16.5" customHeight="1">
      <c r="A4" s="222"/>
      <c r="B4" s="222"/>
      <c r="F4" s="222"/>
      <c r="G4" s="222"/>
      <c r="L4" s="222"/>
      <c r="M4" s="222"/>
      <c r="N4" s="222"/>
      <c r="O4" s="222"/>
      <c r="P4" s="222"/>
      <c r="Q4" s="222"/>
      <c r="R4" s="222"/>
      <c r="S4" s="222"/>
      <c r="T4" s="222"/>
    </row>
    <row r="5" spans="1:25" s="276" customFormat="1" ht="23.1" customHeight="1">
      <c r="A5" s="224"/>
      <c r="C5" s="223" t="s">
        <v>1</v>
      </c>
      <c r="D5" s="223"/>
      <c r="E5" s="223"/>
      <c r="G5" s="225" t="str">
        <f>[2]Report!H5</f>
        <v>SPR15120012-1</v>
      </c>
      <c r="H5" s="225"/>
      <c r="I5" s="225"/>
      <c r="J5" s="225"/>
      <c r="L5" s="222"/>
      <c r="M5" s="222"/>
      <c r="N5" s="224"/>
      <c r="O5" s="224"/>
      <c r="P5" s="224"/>
      <c r="Q5" s="224"/>
      <c r="S5" s="277" t="s">
        <v>210</v>
      </c>
      <c r="U5" s="278"/>
    </row>
    <row r="6" spans="1:25" s="276" customFormat="1" ht="23.1" customHeight="1">
      <c r="A6" s="224"/>
      <c r="C6" s="223"/>
      <c r="D6" s="223"/>
      <c r="E6" s="223"/>
      <c r="G6" s="225"/>
      <c r="H6" s="225"/>
      <c r="I6" s="225"/>
      <c r="J6" s="225"/>
      <c r="L6" s="222"/>
      <c r="M6" s="222"/>
      <c r="N6" s="224"/>
      <c r="O6" s="224"/>
      <c r="P6" s="224"/>
      <c r="Q6" s="224"/>
      <c r="S6" s="277"/>
      <c r="U6" s="278"/>
    </row>
    <row r="7" spans="1:25" s="276" customFormat="1" ht="23.1" customHeight="1">
      <c r="A7" s="224"/>
      <c r="C7" s="223"/>
      <c r="D7" s="223"/>
      <c r="E7" s="223"/>
      <c r="G7" s="225"/>
      <c r="H7" s="225"/>
      <c r="I7" s="225"/>
      <c r="J7" s="225"/>
      <c r="L7" s="222"/>
      <c r="M7" s="222"/>
      <c r="N7" s="224"/>
      <c r="O7" s="224"/>
      <c r="P7" s="224"/>
      <c r="Q7" s="224"/>
      <c r="S7" s="277"/>
      <c r="U7" s="278"/>
    </row>
    <row r="8" spans="1:25" s="276" customFormat="1" ht="23.1" customHeight="1">
      <c r="A8" s="224"/>
      <c r="C8" s="223"/>
      <c r="D8" s="223"/>
      <c r="E8" s="223"/>
      <c r="G8" s="225"/>
      <c r="H8" s="225"/>
      <c r="I8" s="225"/>
      <c r="J8" s="225"/>
      <c r="L8" s="222"/>
      <c r="M8" s="222"/>
      <c r="N8" s="224"/>
      <c r="O8" s="224"/>
      <c r="P8" s="224"/>
      <c r="Q8" s="224"/>
      <c r="S8" s="277"/>
      <c r="U8" s="278"/>
    </row>
    <row r="9" spans="1:25" s="276" customFormat="1" ht="23.1" customHeight="1">
      <c r="A9" s="224"/>
      <c r="C9" s="223"/>
      <c r="D9" s="223"/>
      <c r="E9" s="223"/>
      <c r="G9" s="225"/>
      <c r="H9" s="225"/>
      <c r="I9" s="225"/>
      <c r="J9" s="225"/>
      <c r="L9" s="222"/>
      <c r="M9" s="222"/>
      <c r="N9" s="224"/>
      <c r="O9" s="224"/>
      <c r="P9" s="224"/>
      <c r="Q9" s="224"/>
      <c r="S9" s="277"/>
      <c r="U9" s="278"/>
    </row>
    <row r="10" spans="1:25" s="276" customFormat="1" ht="23.1" customHeight="1">
      <c r="A10" s="224"/>
      <c r="C10" s="223"/>
      <c r="D10" s="223"/>
      <c r="E10" s="223"/>
      <c r="G10" s="225"/>
      <c r="H10" s="225"/>
      <c r="I10" s="225"/>
      <c r="J10" s="225"/>
      <c r="L10" s="222"/>
      <c r="M10" s="222"/>
      <c r="N10" s="224"/>
      <c r="O10" s="224"/>
      <c r="P10" s="224"/>
      <c r="Q10" s="224"/>
      <c r="S10" s="277"/>
      <c r="U10" s="278"/>
    </row>
    <row r="11" spans="1:25" s="276" customFormat="1" ht="23.1" customHeight="1">
      <c r="A11" s="224"/>
      <c r="C11" s="223"/>
      <c r="D11" s="223"/>
      <c r="E11" s="223"/>
      <c r="G11" s="225"/>
      <c r="H11" s="225"/>
      <c r="I11" s="225"/>
      <c r="J11" s="225"/>
      <c r="L11" s="222"/>
      <c r="M11" s="222"/>
      <c r="N11" s="224"/>
      <c r="O11" s="224"/>
      <c r="P11" s="224"/>
      <c r="Q11" s="224"/>
      <c r="S11" s="277"/>
      <c r="U11" s="278"/>
    </row>
    <row r="12" spans="1:25" s="276" customFormat="1" ht="23.1" customHeight="1">
      <c r="A12" s="224"/>
      <c r="C12" s="223"/>
      <c r="D12" s="223"/>
      <c r="E12" s="223"/>
      <c r="G12" s="225"/>
      <c r="H12" s="225"/>
      <c r="I12" s="225"/>
      <c r="J12" s="225"/>
      <c r="L12" s="222"/>
      <c r="M12" s="222"/>
      <c r="N12" s="224"/>
      <c r="O12" s="224"/>
      <c r="P12" s="224"/>
      <c r="Q12" s="224"/>
      <c r="S12" s="277"/>
      <c r="U12" s="278"/>
    </row>
    <row r="13" spans="1:25" s="276" customFormat="1" ht="23.1" customHeight="1">
      <c r="A13" s="224"/>
      <c r="C13" s="223"/>
      <c r="D13" s="223"/>
      <c r="E13" s="223"/>
      <c r="G13" s="225"/>
      <c r="H13" s="225"/>
      <c r="I13" s="225"/>
      <c r="J13" s="225"/>
      <c r="L13" s="222"/>
      <c r="M13" s="222"/>
      <c r="N13" s="224"/>
      <c r="O13" s="224"/>
      <c r="P13" s="224"/>
      <c r="Q13" s="224"/>
      <c r="S13" s="277"/>
      <c r="U13" s="278"/>
    </row>
    <row r="14" spans="1:25" s="276" customFormat="1" ht="17.100000000000001" customHeight="1">
      <c r="B14" s="279"/>
      <c r="C14" s="280"/>
      <c r="D14" s="280"/>
      <c r="E14" s="280"/>
      <c r="F14" s="281"/>
      <c r="G14" s="281"/>
      <c r="H14" s="281"/>
      <c r="I14" s="281"/>
      <c r="J14" s="281"/>
      <c r="K14" s="281"/>
      <c r="L14" s="281"/>
      <c r="N14" s="281"/>
      <c r="O14" s="281"/>
      <c r="P14" s="279"/>
      <c r="Q14" s="279"/>
      <c r="R14" s="279"/>
      <c r="S14" s="279"/>
      <c r="T14" s="279"/>
      <c r="U14" s="279"/>
      <c r="V14" s="279"/>
    </row>
    <row r="15" spans="1:25" s="228" customFormat="1" ht="17.100000000000001" customHeight="1">
      <c r="A15" s="224"/>
      <c r="S15" s="224"/>
      <c r="T15" s="224"/>
      <c r="U15" s="224"/>
      <c r="V15" s="224"/>
      <c r="W15" s="224"/>
      <c r="X15" s="224"/>
    </row>
    <row r="16" spans="1:25" s="227" customFormat="1" ht="16.5" customHeight="1">
      <c r="A16" s="425" t="s">
        <v>206</v>
      </c>
      <c r="B16" s="425"/>
      <c r="C16" s="425"/>
      <c r="D16" s="425"/>
      <c r="E16" s="422" t="s">
        <v>200</v>
      </c>
      <c r="F16" s="422"/>
      <c r="G16" s="422"/>
      <c r="H16" s="422"/>
      <c r="I16" s="422"/>
      <c r="J16" s="422"/>
      <c r="K16" s="422"/>
      <c r="L16" s="422"/>
      <c r="M16" s="422"/>
      <c r="N16" s="422" t="s">
        <v>209</v>
      </c>
      <c r="O16" s="422"/>
      <c r="P16" s="422"/>
      <c r="Q16" s="422"/>
      <c r="R16" s="422"/>
      <c r="S16" s="422"/>
      <c r="T16" s="422"/>
      <c r="U16" s="422"/>
      <c r="V16" s="422"/>
      <c r="W16" s="224"/>
      <c r="X16" s="224"/>
      <c r="Y16" s="229"/>
    </row>
    <row r="17" spans="1:41" s="233" customFormat="1" ht="15" customHeight="1">
      <c r="A17" s="425"/>
      <c r="B17" s="425"/>
      <c r="C17" s="425"/>
      <c r="D17" s="425"/>
      <c r="E17" s="425" t="s">
        <v>201</v>
      </c>
      <c r="F17" s="425"/>
      <c r="G17" s="425"/>
      <c r="H17" s="426" t="s">
        <v>202</v>
      </c>
      <c r="I17" s="426"/>
      <c r="J17" s="426"/>
      <c r="K17" s="426"/>
      <c r="L17" s="426"/>
      <c r="M17" s="426"/>
      <c r="N17" s="425" t="s">
        <v>201</v>
      </c>
      <c r="O17" s="425"/>
      <c r="P17" s="425"/>
      <c r="Q17" s="426" t="s">
        <v>202</v>
      </c>
      <c r="R17" s="426"/>
      <c r="S17" s="426"/>
      <c r="T17" s="426"/>
      <c r="U17" s="426"/>
      <c r="V17" s="426"/>
      <c r="W17" s="224"/>
      <c r="X17" s="224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1"/>
      <c r="AJ17" s="231"/>
      <c r="AK17" s="231"/>
      <c r="AL17" s="231"/>
      <c r="AM17" s="231"/>
      <c r="AN17" s="231"/>
      <c r="AO17" s="232"/>
    </row>
    <row r="18" spans="1:41" s="233" customFormat="1" ht="18" customHeight="1">
      <c r="A18" s="425"/>
      <c r="B18" s="425"/>
      <c r="C18" s="425"/>
      <c r="D18" s="425"/>
      <c r="E18" s="425"/>
      <c r="F18" s="425"/>
      <c r="G18" s="425"/>
      <c r="H18" s="427" t="s">
        <v>203</v>
      </c>
      <c r="I18" s="427"/>
      <c r="J18" s="427" t="s">
        <v>204</v>
      </c>
      <c r="K18" s="427"/>
      <c r="L18" s="427" t="s">
        <v>205</v>
      </c>
      <c r="M18" s="427"/>
      <c r="N18" s="425"/>
      <c r="O18" s="425"/>
      <c r="P18" s="425"/>
      <c r="Q18" s="427" t="s">
        <v>203</v>
      </c>
      <c r="R18" s="427"/>
      <c r="S18" s="427" t="s">
        <v>204</v>
      </c>
      <c r="T18" s="427"/>
      <c r="U18" s="427" t="s">
        <v>205</v>
      </c>
      <c r="V18" s="427"/>
      <c r="W18" s="224"/>
      <c r="X18" s="224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1"/>
      <c r="AJ18" s="231"/>
      <c r="AK18" s="231"/>
      <c r="AL18" s="231"/>
      <c r="AM18" s="231"/>
      <c r="AN18" s="231"/>
      <c r="AO18" s="232"/>
    </row>
    <row r="19" spans="1:41" s="233" customFormat="1" ht="21" customHeight="1">
      <c r="A19" s="423">
        <f>'Data Record (pitch)'!I8</f>
        <v>0</v>
      </c>
      <c r="B19" s="423"/>
      <c r="C19" s="423"/>
      <c r="D19" s="423"/>
      <c r="E19" s="424">
        <f>'[3]Data Record(pitch)'!F13</f>
        <v>0</v>
      </c>
      <c r="F19" s="424"/>
      <c r="G19" s="424"/>
      <c r="H19" s="422">
        <f>'[3]Data Record(pitch)'!I13</f>
        <v>0</v>
      </c>
      <c r="I19" s="422"/>
      <c r="J19" s="422">
        <f>'[3]Data Record(pitch)'!L13</f>
        <v>0</v>
      </c>
      <c r="K19" s="422"/>
      <c r="L19" s="422">
        <f>'[3]Data Record(pitch)'!O13</f>
        <v>0</v>
      </c>
      <c r="M19" s="422"/>
      <c r="N19" s="424">
        <f>'[3]Data Record(pitch)'!R13</f>
        <v>0</v>
      </c>
      <c r="O19" s="424"/>
      <c r="P19" s="424"/>
      <c r="Q19" s="422">
        <f>'[3]Data Record(pitch)'!U13</f>
        <v>0</v>
      </c>
      <c r="R19" s="422"/>
      <c r="S19" s="422">
        <f>'[3]Data Record(pitch)'!X13</f>
        <v>0</v>
      </c>
      <c r="T19" s="422"/>
      <c r="U19" s="422">
        <f>'[3]Data Record(pitch)'!AA13</f>
        <v>0</v>
      </c>
      <c r="V19" s="422"/>
      <c r="W19" s="224"/>
      <c r="X19" s="224"/>
      <c r="Y19" s="230"/>
      <c r="Z19" s="234"/>
      <c r="AA19" s="230"/>
      <c r="AB19" s="230"/>
      <c r="AC19" s="234"/>
      <c r="AD19" s="230"/>
      <c r="AE19" s="230"/>
      <c r="AF19" s="234"/>
      <c r="AG19" s="230"/>
      <c r="AH19" s="230"/>
      <c r="AI19" s="231"/>
      <c r="AJ19" s="231"/>
      <c r="AK19" s="231"/>
      <c r="AL19" s="231"/>
      <c r="AM19" s="231"/>
      <c r="AN19" s="231"/>
      <c r="AO19" s="232"/>
    </row>
    <row r="20" spans="1:41" s="233" customFormat="1" ht="21" customHeight="1">
      <c r="A20" s="423">
        <f>'Data Record (pitch)'!R8</f>
        <v>0</v>
      </c>
      <c r="B20" s="423"/>
      <c r="C20" s="423"/>
      <c r="D20" s="423"/>
      <c r="E20" s="424">
        <f>'[3]Data Record(pitch)'!F14</f>
        <v>0</v>
      </c>
      <c r="F20" s="424"/>
      <c r="G20" s="424"/>
      <c r="H20" s="422">
        <f>'[3]Data Record(pitch)'!I14</f>
        <v>0</v>
      </c>
      <c r="I20" s="422"/>
      <c r="J20" s="422">
        <f>'[3]Data Record(pitch)'!L14</f>
        <v>0</v>
      </c>
      <c r="K20" s="422"/>
      <c r="L20" s="422">
        <f>'[3]Data Record(pitch)'!O14</f>
        <v>0</v>
      </c>
      <c r="M20" s="422"/>
      <c r="N20" s="424" t="str">
        <f>'[3]Data Record(pitch)'!R14</f>
        <v>□</v>
      </c>
      <c r="O20" s="424"/>
      <c r="P20" s="424"/>
      <c r="Q20" s="422">
        <f>'[3]Data Record(pitch)'!U14</f>
        <v>0</v>
      </c>
      <c r="R20" s="422"/>
      <c r="S20" s="422">
        <f>'[3]Data Record(pitch)'!X14</f>
        <v>0</v>
      </c>
      <c r="T20" s="422"/>
      <c r="U20" s="422">
        <f>'[3]Data Record(pitch)'!AA14</f>
        <v>0</v>
      </c>
      <c r="V20" s="422"/>
      <c r="W20" s="224"/>
      <c r="X20" s="224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0"/>
      <c r="AJ20" s="230"/>
      <c r="AK20" s="230"/>
      <c r="AL20" s="230"/>
      <c r="AM20" s="230"/>
      <c r="AN20" s="230"/>
      <c r="AO20" s="232"/>
    </row>
    <row r="21" spans="1:41" s="227" customFormat="1" ht="18" customHeight="1">
      <c r="A21" s="224"/>
      <c r="S21" s="224"/>
      <c r="T21" s="224"/>
      <c r="U21" s="224"/>
      <c r="V21" s="224"/>
      <c r="W21" s="224"/>
      <c r="X21" s="224"/>
      <c r="AB21" s="236"/>
      <c r="AC21" s="236"/>
      <c r="AD21" s="236"/>
      <c r="AE21" s="236"/>
    </row>
    <row r="22" spans="1:41" s="227" customFormat="1" ht="18" customHeight="1">
      <c r="A22" s="224"/>
      <c r="B22" s="237" t="s">
        <v>199</v>
      </c>
      <c r="S22" s="224"/>
      <c r="T22" s="224"/>
      <c r="U22" s="224"/>
      <c r="V22" s="224"/>
      <c r="W22" s="224"/>
      <c r="X22" s="224"/>
      <c r="AB22" s="236"/>
      <c r="AC22" s="236"/>
      <c r="AD22" s="236"/>
      <c r="AE22" s="236"/>
    </row>
    <row r="23" spans="1:41" s="227" customFormat="1" ht="15.95" customHeight="1">
      <c r="A23" s="224"/>
      <c r="B23" s="452" t="s">
        <v>195</v>
      </c>
      <c r="C23" s="453"/>
      <c r="D23" s="453"/>
      <c r="E23" s="453"/>
      <c r="F23" s="454"/>
      <c r="G23" s="451" t="s">
        <v>180</v>
      </c>
      <c r="H23" s="451"/>
      <c r="I23" s="451"/>
      <c r="J23" s="452" t="s">
        <v>197</v>
      </c>
      <c r="K23" s="453"/>
      <c r="L23" s="453"/>
      <c r="M23" s="453"/>
      <c r="N23" s="453"/>
      <c r="O23" s="454"/>
      <c r="P23" s="451" t="s">
        <v>32</v>
      </c>
      <c r="Q23" s="451"/>
      <c r="R23" s="451"/>
      <c r="S23" s="430" t="s">
        <v>196</v>
      </c>
      <c r="T23" s="431"/>
      <c r="U23" s="431"/>
      <c r="V23" s="224"/>
      <c r="W23" s="224"/>
      <c r="X23" s="224"/>
      <c r="AB23" s="236"/>
      <c r="AC23" s="236"/>
      <c r="AD23" s="236"/>
      <c r="AE23" s="236"/>
    </row>
    <row r="24" spans="1:41" s="227" customFormat="1" ht="15.95" customHeight="1">
      <c r="A24" s="224"/>
      <c r="B24" s="455"/>
      <c r="C24" s="456"/>
      <c r="D24" s="456"/>
      <c r="E24" s="456"/>
      <c r="F24" s="457"/>
      <c r="G24" s="451"/>
      <c r="H24" s="451"/>
      <c r="I24" s="451"/>
      <c r="J24" s="458"/>
      <c r="K24" s="459"/>
      <c r="L24" s="459"/>
      <c r="M24" s="459"/>
      <c r="N24" s="459"/>
      <c r="O24" s="460"/>
      <c r="P24" s="451"/>
      <c r="Q24" s="451"/>
      <c r="R24" s="451"/>
      <c r="S24" s="431"/>
      <c r="T24" s="431"/>
      <c r="U24" s="431"/>
      <c r="V24" s="224"/>
      <c r="W24" s="224"/>
      <c r="X24" s="224"/>
    </row>
    <row r="25" spans="1:41" s="227" customFormat="1" ht="21" customHeight="1">
      <c r="A25" s="224"/>
      <c r="B25" s="458"/>
      <c r="C25" s="459"/>
      <c r="D25" s="459"/>
      <c r="E25" s="459"/>
      <c r="F25" s="460"/>
      <c r="G25" s="451"/>
      <c r="H25" s="451"/>
      <c r="I25" s="451"/>
      <c r="J25" s="451" t="s">
        <v>181</v>
      </c>
      <c r="K25" s="451"/>
      <c r="L25" s="451"/>
      <c r="M25" s="451" t="s">
        <v>182</v>
      </c>
      <c r="N25" s="451"/>
      <c r="O25" s="451"/>
      <c r="P25" s="451"/>
      <c r="Q25" s="451"/>
      <c r="R25" s="451"/>
      <c r="S25" s="431"/>
      <c r="T25" s="431"/>
      <c r="U25" s="431"/>
      <c r="V25" s="224"/>
      <c r="W25" s="224"/>
      <c r="X25" s="224"/>
    </row>
    <row r="26" spans="1:41" s="227" customFormat="1" ht="23.1" customHeight="1">
      <c r="A26" s="224"/>
      <c r="B26" s="433">
        <f>'Data Record (pitch)'!I8</f>
        <v>0</v>
      </c>
      <c r="C26" s="434"/>
      <c r="D26" s="434"/>
      <c r="E26" s="434"/>
      <c r="F26" s="435"/>
      <c r="G26" s="442" t="s">
        <v>183</v>
      </c>
      <c r="H26" s="442"/>
      <c r="I26" s="442"/>
      <c r="J26" s="443">
        <f>'Data Record (pitch)'!W22</f>
        <v>9.3071793539448979</v>
      </c>
      <c r="K26" s="443"/>
      <c r="L26" s="443"/>
      <c r="M26" s="443">
        <f>'Data Record (pitch)'!W25</f>
        <v>12.307179353944898</v>
      </c>
      <c r="N26" s="443"/>
      <c r="O26" s="443"/>
      <c r="P26" s="444">
        <f>'Data Record (pitch)'!T22-AVERAGE(J26:O28)</f>
        <v>-10.93490097795625</v>
      </c>
      <c r="Q26" s="444"/>
      <c r="R26" s="444"/>
      <c r="S26" s="432">
        <f>'Uncertainty Budget(P0.8)'!M23</f>
        <v>0.896242008779216</v>
      </c>
      <c r="T26" s="431"/>
      <c r="U26" s="431"/>
      <c r="V26" s="224"/>
      <c r="W26" s="224"/>
      <c r="X26" s="224"/>
    </row>
    <row r="27" spans="1:41" s="227" customFormat="1" ht="23.1" customHeight="1">
      <c r="A27" s="224"/>
      <c r="B27" s="436"/>
      <c r="C27" s="437"/>
      <c r="D27" s="437"/>
      <c r="E27" s="437"/>
      <c r="F27" s="438"/>
      <c r="G27" s="447" t="s">
        <v>184</v>
      </c>
      <c r="H27" s="447"/>
      <c r="I27" s="447"/>
      <c r="J27" s="448">
        <f>'Data Record (pitch)'!W23</f>
        <v>10.307179353944898</v>
      </c>
      <c r="K27" s="448"/>
      <c r="L27" s="448"/>
      <c r="M27" s="448">
        <f>'Data Record (pitch)'!W26</f>
        <v>13.307179353944898</v>
      </c>
      <c r="N27" s="448"/>
      <c r="O27" s="448"/>
      <c r="P27" s="445"/>
      <c r="Q27" s="445"/>
      <c r="R27" s="445"/>
      <c r="S27" s="431"/>
      <c r="T27" s="431"/>
      <c r="U27" s="431"/>
      <c r="V27" s="224"/>
      <c r="W27" s="224"/>
      <c r="X27" s="224"/>
    </row>
    <row r="28" spans="1:41" s="227" customFormat="1" ht="23.1" customHeight="1">
      <c r="A28" s="224"/>
      <c r="B28" s="439"/>
      <c r="C28" s="440"/>
      <c r="D28" s="440"/>
      <c r="E28" s="440"/>
      <c r="F28" s="441"/>
      <c r="G28" s="449" t="s">
        <v>185</v>
      </c>
      <c r="H28" s="449"/>
      <c r="I28" s="449"/>
      <c r="J28" s="448">
        <f>'Data Record (pitch)'!W24</f>
        <v>11.307179353944898</v>
      </c>
      <c r="K28" s="448"/>
      <c r="L28" s="448"/>
      <c r="M28" s="448">
        <f>'Data Record (pitch)'!W27</f>
        <v>14.307179353944898</v>
      </c>
      <c r="N28" s="448"/>
      <c r="O28" s="448"/>
      <c r="P28" s="446"/>
      <c r="Q28" s="446"/>
      <c r="R28" s="446"/>
      <c r="S28" s="431"/>
      <c r="T28" s="431"/>
      <c r="U28" s="431"/>
      <c r="V28" s="224"/>
      <c r="W28" s="224"/>
      <c r="X28" s="224"/>
    </row>
    <row r="29" spans="1:41" s="227" customFormat="1" ht="23.1" customHeight="1">
      <c r="A29" s="224"/>
      <c r="B29" s="433">
        <f>'Data Record (pitch)'!R8</f>
        <v>0</v>
      </c>
      <c r="C29" s="434"/>
      <c r="D29" s="434"/>
      <c r="E29" s="434"/>
      <c r="F29" s="435"/>
      <c r="G29" s="442" t="s">
        <v>183</v>
      </c>
      <c r="H29" s="442"/>
      <c r="I29" s="442"/>
      <c r="J29" s="443">
        <f>'Data Record (pitch)'!W36</f>
        <v>15.701435481077805</v>
      </c>
      <c r="K29" s="443"/>
      <c r="L29" s="443"/>
      <c r="M29" s="443">
        <f>'Data Record (pitch)'!W39</f>
        <v>15.701435481077805</v>
      </c>
      <c r="N29" s="443"/>
      <c r="O29" s="443"/>
      <c r="P29" s="444">
        <f>'Data Record (pitch)'!T25-AVERAGE(J29:O31)</f>
        <v>-15.701435481077807</v>
      </c>
      <c r="Q29" s="444"/>
      <c r="R29" s="444"/>
      <c r="S29" s="432">
        <f>'Uncertainty Budget(P0.8)'!M23</f>
        <v>0.896242008779216</v>
      </c>
      <c r="T29" s="431"/>
      <c r="U29" s="431"/>
      <c r="V29" s="224"/>
      <c r="W29" s="224"/>
      <c r="X29" s="224"/>
    </row>
    <row r="30" spans="1:41" s="227" customFormat="1" ht="23.1" customHeight="1">
      <c r="A30" s="224"/>
      <c r="B30" s="436"/>
      <c r="C30" s="437"/>
      <c r="D30" s="437"/>
      <c r="E30" s="437"/>
      <c r="F30" s="438"/>
      <c r="G30" s="447" t="s">
        <v>184</v>
      </c>
      <c r="H30" s="447"/>
      <c r="I30" s="447"/>
      <c r="J30" s="448">
        <f>'Data Record (pitch)'!W37</f>
        <v>15.701435481077805</v>
      </c>
      <c r="K30" s="448"/>
      <c r="L30" s="448"/>
      <c r="M30" s="448">
        <f>'Data Record (pitch)'!W40</f>
        <v>15.701435481077805</v>
      </c>
      <c r="N30" s="448"/>
      <c r="O30" s="448"/>
      <c r="P30" s="445"/>
      <c r="Q30" s="445"/>
      <c r="R30" s="445"/>
      <c r="S30" s="431"/>
      <c r="T30" s="431"/>
      <c r="U30" s="431"/>
      <c r="V30" s="224"/>
      <c r="W30" s="224"/>
      <c r="X30" s="224"/>
    </row>
    <row r="31" spans="1:41" s="227" customFormat="1" ht="23.1" customHeight="1">
      <c r="A31" s="224"/>
      <c r="B31" s="439"/>
      <c r="C31" s="440"/>
      <c r="D31" s="440"/>
      <c r="E31" s="440"/>
      <c r="F31" s="441"/>
      <c r="G31" s="449" t="s">
        <v>185</v>
      </c>
      <c r="H31" s="449"/>
      <c r="I31" s="449"/>
      <c r="J31" s="450">
        <f>'Data Record (pitch)'!W38</f>
        <v>15.701435481077805</v>
      </c>
      <c r="K31" s="450"/>
      <c r="L31" s="450"/>
      <c r="M31" s="450">
        <f>'Data Record (pitch)'!W41</f>
        <v>15.701435481077805</v>
      </c>
      <c r="N31" s="450"/>
      <c r="O31" s="450"/>
      <c r="P31" s="446"/>
      <c r="Q31" s="446"/>
      <c r="R31" s="446"/>
      <c r="S31" s="431"/>
      <c r="T31" s="431"/>
      <c r="U31" s="431"/>
      <c r="V31" s="224"/>
      <c r="W31" s="224"/>
      <c r="X31" s="224"/>
    </row>
    <row r="32" spans="1:41" s="227" customFormat="1" ht="21" customHeight="1">
      <c r="A32" s="224"/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</row>
    <row r="33" spans="1:26" s="276" customFormat="1" ht="18.95" customHeight="1">
      <c r="A33" s="226"/>
      <c r="B33" s="137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26"/>
      <c r="W33" s="226"/>
      <c r="X33" s="224"/>
      <c r="Y33" s="224"/>
      <c r="Z33" s="224"/>
    </row>
    <row r="34" spans="1:26" s="276" customFormat="1" ht="18.95" customHeight="1">
      <c r="A34" s="293"/>
      <c r="B34" s="294"/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26"/>
      <c r="X34" s="224"/>
      <c r="Y34" s="224"/>
      <c r="Z34" s="224"/>
    </row>
    <row r="35" spans="1:26" s="276" customFormat="1" ht="18.95" customHeight="1">
      <c r="A35" s="294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26"/>
      <c r="X35" s="224"/>
      <c r="Y35" s="224"/>
      <c r="Z35" s="224"/>
    </row>
    <row r="36" spans="1:26" s="276" customFormat="1" ht="18.95" customHeight="1">
      <c r="A36" s="428"/>
      <c r="B36" s="428"/>
      <c r="C36" s="428"/>
      <c r="D36" s="428"/>
      <c r="E36" s="428"/>
      <c r="F36" s="428"/>
      <c r="G36" s="428"/>
      <c r="H36" s="428"/>
      <c r="I36" s="428"/>
      <c r="J36" s="428"/>
      <c r="K36" s="428"/>
      <c r="L36" s="428"/>
      <c r="M36" s="428"/>
      <c r="N36" s="428"/>
      <c r="O36" s="428"/>
      <c r="P36" s="428"/>
      <c r="Q36" s="428"/>
      <c r="R36" s="428"/>
      <c r="S36" s="428"/>
      <c r="T36" s="428"/>
      <c r="U36" s="428"/>
      <c r="V36" s="428"/>
      <c r="W36" s="226"/>
      <c r="X36" s="224"/>
      <c r="Y36" s="224"/>
      <c r="Z36" s="224"/>
    </row>
    <row r="37" spans="1:26">
      <c r="Y37" s="222"/>
      <c r="Z37" s="222"/>
    </row>
  </sheetData>
  <mergeCells count="64">
    <mergeCell ref="G23:I25"/>
    <mergeCell ref="J23:O24"/>
    <mergeCell ref="A19:D19"/>
    <mergeCell ref="E19:G19"/>
    <mergeCell ref="H19:I19"/>
    <mergeCell ref="J19:K19"/>
    <mergeCell ref="L19:M19"/>
    <mergeCell ref="N19:P19"/>
    <mergeCell ref="M31:O31"/>
    <mergeCell ref="P23:R25"/>
    <mergeCell ref="J25:L25"/>
    <mergeCell ref="M25:O25"/>
    <mergeCell ref="B26:F28"/>
    <mergeCell ref="G26:I26"/>
    <mergeCell ref="J26:L26"/>
    <mergeCell ref="M26:O26"/>
    <mergeCell ref="P26:R28"/>
    <mergeCell ref="G27:I27"/>
    <mergeCell ref="J27:L27"/>
    <mergeCell ref="M27:O27"/>
    <mergeCell ref="G28:I28"/>
    <mergeCell ref="J28:L28"/>
    <mergeCell ref="M28:O28"/>
    <mergeCell ref="B23:F25"/>
    <mergeCell ref="A36:V36"/>
    <mergeCell ref="A3:V3"/>
    <mergeCell ref="S23:U25"/>
    <mergeCell ref="S26:U28"/>
    <mergeCell ref="S29:U31"/>
    <mergeCell ref="B29:F31"/>
    <mergeCell ref="G29:I29"/>
    <mergeCell ref="J29:L29"/>
    <mergeCell ref="M29:O29"/>
    <mergeCell ref="P29:R31"/>
    <mergeCell ref="G30:I30"/>
    <mergeCell ref="J30:L30"/>
    <mergeCell ref="M30:O30"/>
    <mergeCell ref="G31:I31"/>
    <mergeCell ref="J31:L31"/>
    <mergeCell ref="A16:D18"/>
    <mergeCell ref="E16:M16"/>
    <mergeCell ref="N16:V16"/>
    <mergeCell ref="E17:G18"/>
    <mergeCell ref="H17:M17"/>
    <mergeCell ref="N17:P18"/>
    <mergeCell ref="Q17:V17"/>
    <mergeCell ref="H18:I18"/>
    <mergeCell ref="J18:K18"/>
    <mergeCell ref="L18:M18"/>
    <mergeCell ref="Q18:R18"/>
    <mergeCell ref="S18:T18"/>
    <mergeCell ref="U18:V18"/>
    <mergeCell ref="Q19:R19"/>
    <mergeCell ref="S19:T19"/>
    <mergeCell ref="U19:V19"/>
    <mergeCell ref="A20:D20"/>
    <mergeCell ref="E20:G20"/>
    <mergeCell ref="H20:I20"/>
    <mergeCell ref="J20:K20"/>
    <mergeCell ref="L20:M20"/>
    <mergeCell ref="N20:P20"/>
    <mergeCell ref="Q20:R20"/>
    <mergeCell ref="S20:T20"/>
    <mergeCell ref="U20:V20"/>
  </mergeCells>
  <pageMargins left="0.31496062992125984" right="0.31496062992125984" top="0.98425196850393704" bottom="0.19685039370078741" header="0.31496062992125984" footer="0.11811023622047245"/>
  <pageSetup orientation="portrait" horizontalDpi="360" verticalDpi="360" r:id="rId1"/>
  <headerFooter>
    <oddFooter>&amp;R&amp;"Gulim,Regular"&amp;10SP-FM-04-15 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23"/>
  <sheetViews>
    <sheetView view="pageBreakPreview" topLeftCell="A4" zoomScaleNormal="100" zoomScaleSheetLayoutView="100" workbookViewId="0">
      <selection activeCell="N7" sqref="N7"/>
    </sheetView>
  </sheetViews>
  <sheetFormatPr defaultColWidth="9.140625" defaultRowHeight="12"/>
  <cols>
    <col min="1" max="42" width="4.42578125" style="224" customWidth="1"/>
    <col min="43" max="16384" width="9.140625" style="224"/>
  </cols>
  <sheetData>
    <row r="1" spans="1:31" s="276" customFormat="1" ht="17.100000000000001" customHeight="1">
      <c r="A1" s="222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</row>
    <row r="2" spans="1:31" s="276" customFormat="1" ht="17.100000000000001" customHeight="1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</row>
    <row r="3" spans="1:31" s="276" customFormat="1" ht="34.5" customHeight="1">
      <c r="A3" s="429" t="s">
        <v>133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</row>
    <row r="4" spans="1:31" s="276" customFormat="1" ht="16.5" customHeight="1">
      <c r="A4" s="222"/>
      <c r="B4" s="222"/>
      <c r="F4" s="222"/>
      <c r="G4" s="222"/>
      <c r="L4" s="222"/>
      <c r="M4" s="222"/>
      <c r="N4" s="222"/>
      <c r="O4" s="222"/>
      <c r="P4" s="222"/>
      <c r="Q4" s="222"/>
      <c r="R4" s="222"/>
      <c r="S4" s="222"/>
      <c r="T4" s="222"/>
    </row>
    <row r="5" spans="1:31" s="276" customFormat="1" ht="23.1" customHeight="1">
      <c r="A5" s="224"/>
      <c r="C5" s="223" t="s">
        <v>1</v>
      </c>
      <c r="D5" s="223"/>
      <c r="E5" s="223"/>
      <c r="G5" s="225" t="str">
        <f>[2]Report!H5</f>
        <v>SPR15120012-1</v>
      </c>
      <c r="H5" s="225"/>
      <c r="I5" s="225"/>
      <c r="J5" s="225"/>
      <c r="L5" s="222"/>
      <c r="M5" s="222"/>
      <c r="N5" s="224"/>
      <c r="O5" s="224"/>
      <c r="P5" s="224"/>
      <c r="Q5" s="224"/>
      <c r="S5" s="277" t="s">
        <v>211</v>
      </c>
      <c r="U5" s="278"/>
    </row>
    <row r="6" spans="1:31" s="276" customFormat="1" ht="17.100000000000001" customHeight="1">
      <c r="B6" s="279"/>
      <c r="C6" s="280"/>
      <c r="D6" s="280"/>
      <c r="E6" s="280"/>
      <c r="F6" s="281"/>
      <c r="G6" s="281"/>
      <c r="H6" s="281"/>
      <c r="I6" s="281"/>
      <c r="J6" s="281"/>
      <c r="K6" s="281"/>
      <c r="L6" s="281"/>
      <c r="N6" s="281"/>
      <c r="O6" s="281"/>
      <c r="P6" s="279"/>
      <c r="Q6" s="279"/>
      <c r="R6" s="279"/>
      <c r="S6" s="279"/>
      <c r="T6" s="279"/>
      <c r="U6" s="279"/>
      <c r="V6" s="279"/>
    </row>
    <row r="7" spans="1:31" s="276" customFormat="1" ht="17.100000000000001" customHeight="1">
      <c r="B7" s="282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79"/>
      <c r="P7" s="279"/>
      <c r="Q7" s="461"/>
      <c r="R7" s="461"/>
      <c r="S7" s="284"/>
      <c r="T7" s="283"/>
      <c r="U7" s="283"/>
    </row>
    <row r="8" spans="1:31" s="227" customFormat="1" ht="18" customHeight="1">
      <c r="A8" s="224"/>
      <c r="B8" s="237" t="s">
        <v>207</v>
      </c>
      <c r="S8" s="224"/>
      <c r="T8" s="224"/>
      <c r="U8" s="224"/>
      <c r="V8" s="224"/>
      <c r="W8" s="224"/>
      <c r="X8" s="224"/>
      <c r="AB8" s="236"/>
      <c r="AC8" s="236"/>
      <c r="AD8" s="236"/>
      <c r="AE8" s="236"/>
    </row>
    <row r="9" spans="1:31" s="227" customFormat="1" ht="15.95" customHeight="1">
      <c r="A9" s="224"/>
      <c r="B9" s="452" t="s">
        <v>208</v>
      </c>
      <c r="C9" s="453"/>
      <c r="D9" s="453"/>
      <c r="E9" s="453"/>
      <c r="F9" s="454"/>
      <c r="G9" s="451" t="s">
        <v>180</v>
      </c>
      <c r="H9" s="451"/>
      <c r="I9" s="451"/>
      <c r="J9" s="452" t="s">
        <v>197</v>
      </c>
      <c r="K9" s="453"/>
      <c r="L9" s="453"/>
      <c r="M9" s="453"/>
      <c r="N9" s="453"/>
      <c r="O9" s="454"/>
      <c r="P9" s="451" t="s">
        <v>32</v>
      </c>
      <c r="Q9" s="451"/>
      <c r="R9" s="451"/>
      <c r="S9" s="430" t="s">
        <v>196</v>
      </c>
      <c r="T9" s="431"/>
      <c r="U9" s="431"/>
      <c r="V9" s="224"/>
      <c r="W9" s="224"/>
      <c r="X9" s="224"/>
      <c r="AB9" s="236"/>
      <c r="AC9" s="236"/>
      <c r="AD9" s="236"/>
      <c r="AE9" s="236"/>
    </row>
    <row r="10" spans="1:31" s="227" customFormat="1" ht="15.95" customHeight="1">
      <c r="A10" s="224"/>
      <c r="B10" s="455"/>
      <c r="C10" s="456"/>
      <c r="D10" s="456"/>
      <c r="E10" s="456"/>
      <c r="F10" s="457"/>
      <c r="G10" s="451"/>
      <c r="H10" s="451"/>
      <c r="I10" s="451"/>
      <c r="J10" s="458"/>
      <c r="K10" s="459"/>
      <c r="L10" s="459"/>
      <c r="M10" s="459"/>
      <c r="N10" s="459"/>
      <c r="O10" s="460"/>
      <c r="P10" s="451"/>
      <c r="Q10" s="451"/>
      <c r="R10" s="451"/>
      <c r="S10" s="431"/>
      <c r="T10" s="431"/>
      <c r="U10" s="431"/>
      <c r="V10" s="224"/>
      <c r="W10" s="224"/>
      <c r="X10" s="224"/>
    </row>
    <row r="11" spans="1:31" s="227" customFormat="1" ht="21" customHeight="1">
      <c r="A11" s="224"/>
      <c r="B11" s="458"/>
      <c r="C11" s="459"/>
      <c r="D11" s="459"/>
      <c r="E11" s="459"/>
      <c r="F11" s="460"/>
      <c r="G11" s="451"/>
      <c r="H11" s="451"/>
      <c r="I11" s="451"/>
      <c r="J11" s="451" t="s">
        <v>181</v>
      </c>
      <c r="K11" s="451"/>
      <c r="L11" s="451"/>
      <c r="M11" s="451" t="s">
        <v>182</v>
      </c>
      <c r="N11" s="451"/>
      <c r="O11" s="451"/>
      <c r="P11" s="451"/>
      <c r="Q11" s="451"/>
      <c r="R11" s="451"/>
      <c r="S11" s="431"/>
      <c r="T11" s="431"/>
      <c r="U11" s="431"/>
      <c r="V11" s="224"/>
      <c r="W11" s="224"/>
      <c r="X11" s="224"/>
    </row>
    <row r="12" spans="1:31" s="227" customFormat="1" ht="23.1" customHeight="1">
      <c r="A12" s="224"/>
      <c r="B12" s="433">
        <f>'Data Record (pitch)'!I8</f>
        <v>0</v>
      </c>
      <c r="C12" s="434"/>
      <c r="D12" s="434"/>
      <c r="E12" s="434"/>
      <c r="F12" s="435"/>
      <c r="G12" s="442" t="s">
        <v>183</v>
      </c>
      <c r="H12" s="442"/>
      <c r="I12" s="442"/>
      <c r="J12" s="443">
        <f>'Data Record (minor)'!Q16</f>
        <v>10</v>
      </c>
      <c r="K12" s="443"/>
      <c r="L12" s="443"/>
      <c r="M12" s="443">
        <f>'Data Record (minor)'!Q19</f>
        <v>13</v>
      </c>
      <c r="N12" s="443"/>
      <c r="O12" s="443"/>
      <c r="P12" s="444">
        <f>'Data Record (minor)'!W16</f>
        <v>1.744556751977294</v>
      </c>
      <c r="Q12" s="444"/>
      <c r="R12" s="444"/>
      <c r="S12" s="432">
        <f>'Uncertainty Budget(Minor)'!T8</f>
        <v>0.44750845503594705</v>
      </c>
      <c r="T12" s="431"/>
      <c r="U12" s="431"/>
      <c r="V12" s="224"/>
      <c r="W12" s="224"/>
      <c r="X12" s="224"/>
    </row>
    <row r="13" spans="1:31" s="227" customFormat="1" ht="23.1" customHeight="1">
      <c r="A13" s="224"/>
      <c r="B13" s="436"/>
      <c r="C13" s="437"/>
      <c r="D13" s="437"/>
      <c r="E13" s="437"/>
      <c r="F13" s="438"/>
      <c r="G13" s="447" t="s">
        <v>184</v>
      </c>
      <c r="H13" s="447"/>
      <c r="I13" s="447"/>
      <c r="J13" s="448">
        <f>'Data Record (minor)'!Q17</f>
        <v>11</v>
      </c>
      <c r="K13" s="448"/>
      <c r="L13" s="448"/>
      <c r="M13" s="448">
        <f>'Data Record (minor)'!Q20</f>
        <v>14</v>
      </c>
      <c r="N13" s="448"/>
      <c r="O13" s="448"/>
      <c r="P13" s="445"/>
      <c r="Q13" s="445"/>
      <c r="R13" s="445"/>
      <c r="S13" s="431"/>
      <c r="T13" s="431"/>
      <c r="U13" s="431"/>
      <c r="V13" s="224"/>
      <c r="W13" s="224"/>
      <c r="X13" s="224"/>
    </row>
    <row r="14" spans="1:31" s="227" customFormat="1" ht="23.1" customHeight="1">
      <c r="A14" s="224"/>
      <c r="B14" s="439"/>
      <c r="C14" s="440"/>
      <c r="D14" s="440"/>
      <c r="E14" s="440"/>
      <c r="F14" s="441"/>
      <c r="G14" s="449" t="s">
        <v>185</v>
      </c>
      <c r="H14" s="449"/>
      <c r="I14" s="449"/>
      <c r="J14" s="448">
        <f>'Data Record (minor)'!Q18</f>
        <v>12</v>
      </c>
      <c r="K14" s="448"/>
      <c r="L14" s="448"/>
      <c r="M14" s="448">
        <f>'Data Record (minor)'!Q21</f>
        <v>15</v>
      </c>
      <c r="N14" s="448"/>
      <c r="O14" s="448"/>
      <c r="P14" s="446"/>
      <c r="Q14" s="446"/>
      <c r="R14" s="446"/>
      <c r="S14" s="431"/>
      <c r="T14" s="431"/>
      <c r="U14" s="431"/>
      <c r="V14" s="224"/>
      <c r="W14" s="224"/>
      <c r="X14" s="224"/>
    </row>
    <row r="15" spans="1:31" s="227" customFormat="1" ht="23.1" customHeight="1">
      <c r="A15" s="224"/>
      <c r="B15" s="433">
        <f>'Data Record (pitch)'!R8</f>
        <v>0</v>
      </c>
      <c r="C15" s="434"/>
      <c r="D15" s="434"/>
      <c r="E15" s="434"/>
      <c r="F15" s="435"/>
      <c r="G15" s="442" t="s">
        <v>183</v>
      </c>
      <c r="H15" s="442"/>
      <c r="I15" s="442"/>
      <c r="J15" s="443">
        <f>'Data Record (minor)'!Q25</f>
        <v>10</v>
      </c>
      <c r="K15" s="443"/>
      <c r="L15" s="443"/>
      <c r="M15" s="443">
        <f>'Data Record (minor)'!Q28</f>
        <v>13</v>
      </c>
      <c r="N15" s="443"/>
      <c r="O15" s="443"/>
      <c r="P15" s="444">
        <f>'Data Record (minor)'!W25</f>
        <v>1.744556751977294</v>
      </c>
      <c r="Q15" s="444"/>
      <c r="R15" s="444"/>
      <c r="S15" s="432">
        <f>'Uncertainty Budget(Minor)'!T8</f>
        <v>0.44750845503594705</v>
      </c>
      <c r="T15" s="431"/>
      <c r="U15" s="431"/>
      <c r="V15" s="224"/>
      <c r="W15" s="224"/>
      <c r="X15" s="224"/>
    </row>
    <row r="16" spans="1:31" s="227" customFormat="1" ht="23.1" customHeight="1">
      <c r="A16" s="224"/>
      <c r="B16" s="436"/>
      <c r="C16" s="437"/>
      <c r="D16" s="437"/>
      <c r="E16" s="437"/>
      <c r="F16" s="438"/>
      <c r="G16" s="447" t="s">
        <v>184</v>
      </c>
      <c r="H16" s="447"/>
      <c r="I16" s="447"/>
      <c r="J16" s="448">
        <f>'Data Record (minor)'!Q26</f>
        <v>11</v>
      </c>
      <c r="K16" s="448"/>
      <c r="L16" s="448"/>
      <c r="M16" s="448">
        <f>'Data Record (minor)'!Q29</f>
        <v>14</v>
      </c>
      <c r="N16" s="448"/>
      <c r="O16" s="448"/>
      <c r="P16" s="445"/>
      <c r="Q16" s="445"/>
      <c r="R16" s="445"/>
      <c r="S16" s="431"/>
      <c r="T16" s="431"/>
      <c r="U16" s="431"/>
      <c r="V16" s="224"/>
      <c r="W16" s="224"/>
      <c r="X16" s="224"/>
    </row>
    <row r="17" spans="1:26" s="227" customFormat="1" ht="23.1" customHeight="1">
      <c r="A17" s="224"/>
      <c r="B17" s="439"/>
      <c r="C17" s="440"/>
      <c r="D17" s="440"/>
      <c r="E17" s="440"/>
      <c r="F17" s="441"/>
      <c r="G17" s="449" t="s">
        <v>185</v>
      </c>
      <c r="H17" s="449"/>
      <c r="I17" s="449"/>
      <c r="J17" s="450">
        <f>'Data Record (minor)'!Q27</f>
        <v>12</v>
      </c>
      <c r="K17" s="450"/>
      <c r="L17" s="450"/>
      <c r="M17" s="450">
        <f>'Data Record (minor)'!Q30</f>
        <v>15</v>
      </c>
      <c r="N17" s="450"/>
      <c r="O17" s="450"/>
      <c r="P17" s="446"/>
      <c r="Q17" s="446"/>
      <c r="R17" s="446"/>
      <c r="S17" s="431"/>
      <c r="T17" s="431"/>
      <c r="U17" s="431"/>
      <c r="V17" s="224"/>
      <c r="W17" s="224"/>
      <c r="X17" s="224"/>
    </row>
    <row r="18" spans="1:26" s="227" customFormat="1" ht="21" customHeight="1">
      <c r="A18" s="224"/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</row>
    <row r="19" spans="1:26" s="276" customFormat="1" ht="18.95" customHeight="1">
      <c r="A19" s="226"/>
      <c r="B19" s="137" t="s">
        <v>134</v>
      </c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26"/>
      <c r="W19" s="226"/>
      <c r="X19" s="224"/>
      <c r="Y19" s="224"/>
      <c r="Z19" s="224"/>
    </row>
    <row r="20" spans="1:26" s="276" customFormat="1" ht="18.95" customHeight="1">
      <c r="A20" s="293"/>
      <c r="B20" s="294" t="s">
        <v>135</v>
      </c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26"/>
      <c r="X20" s="224"/>
      <c r="Y20" s="224"/>
      <c r="Z20" s="224"/>
    </row>
    <row r="21" spans="1:26" s="276" customFormat="1" ht="18.95" customHeight="1">
      <c r="A21" s="294" t="s">
        <v>198</v>
      </c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26"/>
      <c r="X21" s="224"/>
      <c r="Y21" s="224"/>
      <c r="Z21" s="224"/>
    </row>
    <row r="22" spans="1:26" s="276" customFormat="1" ht="18.95" customHeight="1">
      <c r="A22" s="428" t="s">
        <v>136</v>
      </c>
      <c r="B22" s="428"/>
      <c r="C22" s="428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  <c r="V22" s="428"/>
      <c r="W22" s="226"/>
      <c r="X22" s="224"/>
      <c r="Y22" s="224"/>
      <c r="Z22" s="224"/>
    </row>
    <row r="23" spans="1:26">
      <c r="Y23" s="222"/>
      <c r="Z23" s="222"/>
    </row>
  </sheetData>
  <mergeCells count="34">
    <mergeCell ref="A3:V3"/>
    <mergeCell ref="Q7:R7"/>
    <mergeCell ref="B9:F11"/>
    <mergeCell ref="G9:I11"/>
    <mergeCell ref="J9:O10"/>
    <mergeCell ref="P9:R11"/>
    <mergeCell ref="S9:U11"/>
    <mergeCell ref="J11:L11"/>
    <mergeCell ref="M11:O11"/>
    <mergeCell ref="S12:U14"/>
    <mergeCell ref="G13:I13"/>
    <mergeCell ref="J13:L13"/>
    <mergeCell ref="M13:O13"/>
    <mergeCell ref="G14:I14"/>
    <mergeCell ref="J14:L14"/>
    <mergeCell ref="M14:O14"/>
    <mergeCell ref="B12:F14"/>
    <mergeCell ref="G12:I12"/>
    <mergeCell ref="J12:L12"/>
    <mergeCell ref="M12:O12"/>
    <mergeCell ref="P12:R14"/>
    <mergeCell ref="A22:V22"/>
    <mergeCell ref="P15:R17"/>
    <mergeCell ref="S15:U17"/>
    <mergeCell ref="G16:I16"/>
    <mergeCell ref="J16:L16"/>
    <mergeCell ref="M16:O16"/>
    <mergeCell ref="G17:I17"/>
    <mergeCell ref="J17:L17"/>
    <mergeCell ref="M17:O17"/>
    <mergeCell ref="B15:F17"/>
    <mergeCell ref="G15:I15"/>
    <mergeCell ref="J15:L15"/>
    <mergeCell ref="M15:O15"/>
  </mergeCells>
  <pageMargins left="0.31496062992125984" right="0.31496062992125984" top="0.98425196850393704" bottom="0.19685039370078741" header="0.31496062992125984" footer="0.11811023622047245"/>
  <pageSetup orientation="portrait" horizontalDpi="360" verticalDpi="360" r:id="rId1"/>
  <headerFooter>
    <oddFooter>&amp;R&amp;"Gulim,Regular"&amp;10SP-FM-04-15 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X56"/>
  <sheetViews>
    <sheetView zoomScale="90" zoomScaleNormal="90" zoomScaleSheetLayoutView="100" workbookViewId="0">
      <selection activeCell="M8" sqref="M8"/>
    </sheetView>
  </sheetViews>
  <sheetFormatPr defaultRowHeight="15"/>
  <cols>
    <col min="1" max="1" width="1.140625" style="51" customWidth="1"/>
    <col min="2" max="29" width="7.5703125" style="51" customWidth="1"/>
    <col min="30" max="38" width="7.140625" style="51" customWidth="1"/>
    <col min="39" max="39" width="4.42578125" style="51" customWidth="1"/>
    <col min="40" max="40" width="7.140625" style="51" customWidth="1"/>
    <col min="41" max="41" width="1.42578125" style="51" customWidth="1"/>
    <col min="48" max="276" width="9.140625" style="51"/>
    <col min="277" max="277" width="1.140625" style="51" customWidth="1"/>
    <col min="278" max="278" width="7.5703125" style="51" customWidth="1"/>
    <col min="279" max="293" width="7.140625" style="51" customWidth="1"/>
    <col min="294" max="295" width="1.42578125" style="51" customWidth="1"/>
    <col min="296" max="296" width="6.42578125" style="51" customWidth="1"/>
    <col min="297" max="298" width="8.7109375" style="51" bestFit="1" customWidth="1"/>
    <col min="299" max="532" width="9.140625" style="51"/>
    <col min="533" max="533" width="1.140625" style="51" customWidth="1"/>
    <col min="534" max="534" width="7.5703125" style="51" customWidth="1"/>
    <col min="535" max="549" width="7.140625" style="51" customWidth="1"/>
    <col min="550" max="551" width="1.42578125" style="51" customWidth="1"/>
    <col min="552" max="552" width="6.42578125" style="51" customWidth="1"/>
    <col min="553" max="554" width="8.7109375" style="51" bestFit="1" customWidth="1"/>
    <col min="555" max="788" width="9.140625" style="51"/>
    <col min="789" max="789" width="1.140625" style="51" customWidth="1"/>
    <col min="790" max="790" width="7.5703125" style="51" customWidth="1"/>
    <col min="791" max="805" width="7.140625" style="51" customWidth="1"/>
    <col min="806" max="807" width="1.42578125" style="51" customWidth="1"/>
    <col min="808" max="808" width="6.42578125" style="51" customWidth="1"/>
    <col min="809" max="810" width="8.7109375" style="51" bestFit="1" customWidth="1"/>
    <col min="811" max="1044" width="9.140625" style="51"/>
    <col min="1045" max="1045" width="1.140625" style="51" customWidth="1"/>
    <col min="1046" max="1046" width="7.5703125" style="51" customWidth="1"/>
    <col min="1047" max="1061" width="7.140625" style="51" customWidth="1"/>
    <col min="1062" max="1063" width="1.42578125" style="51" customWidth="1"/>
    <col min="1064" max="1064" width="6.42578125" style="51" customWidth="1"/>
    <col min="1065" max="1066" width="8.7109375" style="51" bestFit="1" customWidth="1"/>
    <col min="1067" max="1300" width="9.140625" style="51"/>
    <col min="1301" max="1301" width="1.140625" style="51" customWidth="1"/>
    <col min="1302" max="1302" width="7.5703125" style="51" customWidth="1"/>
    <col min="1303" max="1317" width="7.140625" style="51" customWidth="1"/>
    <col min="1318" max="1319" width="1.42578125" style="51" customWidth="1"/>
    <col min="1320" max="1320" width="6.42578125" style="51" customWidth="1"/>
    <col min="1321" max="1322" width="8.7109375" style="51" bestFit="1" customWidth="1"/>
    <col min="1323" max="1556" width="9.140625" style="51"/>
    <col min="1557" max="1557" width="1.140625" style="51" customWidth="1"/>
    <col min="1558" max="1558" width="7.5703125" style="51" customWidth="1"/>
    <col min="1559" max="1573" width="7.140625" style="51" customWidth="1"/>
    <col min="1574" max="1575" width="1.42578125" style="51" customWidth="1"/>
    <col min="1576" max="1576" width="6.42578125" style="51" customWidth="1"/>
    <col min="1577" max="1578" width="8.7109375" style="51" bestFit="1" customWidth="1"/>
    <col min="1579" max="1812" width="9.140625" style="51"/>
    <col min="1813" max="1813" width="1.140625" style="51" customWidth="1"/>
    <col min="1814" max="1814" width="7.5703125" style="51" customWidth="1"/>
    <col min="1815" max="1829" width="7.140625" style="51" customWidth="1"/>
    <col min="1830" max="1831" width="1.42578125" style="51" customWidth="1"/>
    <col min="1832" max="1832" width="6.42578125" style="51" customWidth="1"/>
    <col min="1833" max="1834" width="8.7109375" style="51" bestFit="1" customWidth="1"/>
    <col min="1835" max="2068" width="9.140625" style="51"/>
    <col min="2069" max="2069" width="1.140625" style="51" customWidth="1"/>
    <col min="2070" max="2070" width="7.5703125" style="51" customWidth="1"/>
    <col min="2071" max="2085" width="7.140625" style="51" customWidth="1"/>
    <col min="2086" max="2087" width="1.42578125" style="51" customWidth="1"/>
    <col min="2088" max="2088" width="6.42578125" style="51" customWidth="1"/>
    <col min="2089" max="2090" width="8.7109375" style="51" bestFit="1" customWidth="1"/>
    <col min="2091" max="2324" width="9.140625" style="51"/>
    <col min="2325" max="2325" width="1.140625" style="51" customWidth="1"/>
    <col min="2326" max="2326" width="7.5703125" style="51" customWidth="1"/>
    <col min="2327" max="2341" width="7.140625" style="51" customWidth="1"/>
    <col min="2342" max="2343" width="1.42578125" style="51" customWidth="1"/>
    <col min="2344" max="2344" width="6.42578125" style="51" customWidth="1"/>
    <col min="2345" max="2346" width="8.7109375" style="51" bestFit="1" customWidth="1"/>
    <col min="2347" max="2580" width="9.140625" style="51"/>
    <col min="2581" max="2581" width="1.140625" style="51" customWidth="1"/>
    <col min="2582" max="2582" width="7.5703125" style="51" customWidth="1"/>
    <col min="2583" max="2597" width="7.140625" style="51" customWidth="1"/>
    <col min="2598" max="2599" width="1.42578125" style="51" customWidth="1"/>
    <col min="2600" max="2600" width="6.42578125" style="51" customWidth="1"/>
    <col min="2601" max="2602" width="8.7109375" style="51" bestFit="1" customWidth="1"/>
    <col min="2603" max="2836" width="9.140625" style="51"/>
    <col min="2837" max="2837" width="1.140625" style="51" customWidth="1"/>
    <col min="2838" max="2838" width="7.5703125" style="51" customWidth="1"/>
    <col min="2839" max="2853" width="7.140625" style="51" customWidth="1"/>
    <col min="2854" max="2855" width="1.42578125" style="51" customWidth="1"/>
    <col min="2856" max="2856" width="6.42578125" style="51" customWidth="1"/>
    <col min="2857" max="2858" width="8.7109375" style="51" bestFit="1" customWidth="1"/>
    <col min="2859" max="3092" width="9.140625" style="51"/>
    <col min="3093" max="3093" width="1.140625" style="51" customWidth="1"/>
    <col min="3094" max="3094" width="7.5703125" style="51" customWidth="1"/>
    <col min="3095" max="3109" width="7.140625" style="51" customWidth="1"/>
    <col min="3110" max="3111" width="1.42578125" style="51" customWidth="1"/>
    <col min="3112" max="3112" width="6.42578125" style="51" customWidth="1"/>
    <col min="3113" max="3114" width="8.7109375" style="51" bestFit="1" customWidth="1"/>
    <col min="3115" max="3348" width="9.140625" style="51"/>
    <col min="3349" max="3349" width="1.140625" style="51" customWidth="1"/>
    <col min="3350" max="3350" width="7.5703125" style="51" customWidth="1"/>
    <col min="3351" max="3365" width="7.140625" style="51" customWidth="1"/>
    <col min="3366" max="3367" width="1.42578125" style="51" customWidth="1"/>
    <col min="3368" max="3368" width="6.42578125" style="51" customWidth="1"/>
    <col min="3369" max="3370" width="8.7109375" style="51" bestFit="1" customWidth="1"/>
    <col min="3371" max="3604" width="9.140625" style="51"/>
    <col min="3605" max="3605" width="1.140625" style="51" customWidth="1"/>
    <col min="3606" max="3606" width="7.5703125" style="51" customWidth="1"/>
    <col min="3607" max="3621" width="7.140625" style="51" customWidth="1"/>
    <col min="3622" max="3623" width="1.42578125" style="51" customWidth="1"/>
    <col min="3624" max="3624" width="6.42578125" style="51" customWidth="1"/>
    <col min="3625" max="3626" width="8.7109375" style="51" bestFit="1" customWidth="1"/>
    <col min="3627" max="3860" width="9.140625" style="51"/>
    <col min="3861" max="3861" width="1.140625" style="51" customWidth="1"/>
    <col min="3862" max="3862" width="7.5703125" style="51" customWidth="1"/>
    <col min="3863" max="3877" width="7.140625" style="51" customWidth="1"/>
    <col min="3878" max="3879" width="1.42578125" style="51" customWidth="1"/>
    <col min="3880" max="3880" width="6.42578125" style="51" customWidth="1"/>
    <col min="3881" max="3882" width="8.7109375" style="51" bestFit="1" customWidth="1"/>
    <col min="3883" max="4116" width="9.140625" style="51"/>
    <col min="4117" max="4117" width="1.140625" style="51" customWidth="1"/>
    <col min="4118" max="4118" width="7.5703125" style="51" customWidth="1"/>
    <col min="4119" max="4133" width="7.140625" style="51" customWidth="1"/>
    <col min="4134" max="4135" width="1.42578125" style="51" customWidth="1"/>
    <col min="4136" max="4136" width="6.42578125" style="51" customWidth="1"/>
    <col min="4137" max="4138" width="8.7109375" style="51" bestFit="1" customWidth="1"/>
    <col min="4139" max="4372" width="9.140625" style="51"/>
    <col min="4373" max="4373" width="1.140625" style="51" customWidth="1"/>
    <col min="4374" max="4374" width="7.5703125" style="51" customWidth="1"/>
    <col min="4375" max="4389" width="7.140625" style="51" customWidth="1"/>
    <col min="4390" max="4391" width="1.42578125" style="51" customWidth="1"/>
    <col min="4392" max="4392" width="6.42578125" style="51" customWidth="1"/>
    <col min="4393" max="4394" width="8.7109375" style="51" bestFit="1" customWidth="1"/>
    <col min="4395" max="4628" width="9.140625" style="51"/>
    <col min="4629" max="4629" width="1.140625" style="51" customWidth="1"/>
    <col min="4630" max="4630" width="7.5703125" style="51" customWidth="1"/>
    <col min="4631" max="4645" width="7.140625" style="51" customWidth="1"/>
    <col min="4646" max="4647" width="1.42578125" style="51" customWidth="1"/>
    <col min="4648" max="4648" width="6.42578125" style="51" customWidth="1"/>
    <col min="4649" max="4650" width="8.7109375" style="51" bestFit="1" customWidth="1"/>
    <col min="4651" max="4884" width="9.140625" style="51"/>
    <col min="4885" max="4885" width="1.140625" style="51" customWidth="1"/>
    <col min="4886" max="4886" width="7.5703125" style="51" customWidth="1"/>
    <col min="4887" max="4901" width="7.140625" style="51" customWidth="1"/>
    <col min="4902" max="4903" width="1.42578125" style="51" customWidth="1"/>
    <col min="4904" max="4904" width="6.42578125" style="51" customWidth="1"/>
    <col min="4905" max="4906" width="8.7109375" style="51" bestFit="1" customWidth="1"/>
    <col min="4907" max="5140" width="9.140625" style="51"/>
    <col min="5141" max="5141" width="1.140625" style="51" customWidth="1"/>
    <col min="5142" max="5142" width="7.5703125" style="51" customWidth="1"/>
    <col min="5143" max="5157" width="7.140625" style="51" customWidth="1"/>
    <col min="5158" max="5159" width="1.42578125" style="51" customWidth="1"/>
    <col min="5160" max="5160" width="6.42578125" style="51" customWidth="1"/>
    <col min="5161" max="5162" width="8.7109375" style="51" bestFit="1" customWidth="1"/>
    <col min="5163" max="5396" width="9.140625" style="51"/>
    <col min="5397" max="5397" width="1.140625" style="51" customWidth="1"/>
    <col min="5398" max="5398" width="7.5703125" style="51" customWidth="1"/>
    <col min="5399" max="5413" width="7.140625" style="51" customWidth="1"/>
    <col min="5414" max="5415" width="1.42578125" style="51" customWidth="1"/>
    <col min="5416" max="5416" width="6.42578125" style="51" customWidth="1"/>
    <col min="5417" max="5418" width="8.7109375" style="51" bestFit="1" customWidth="1"/>
    <col min="5419" max="5652" width="9.140625" style="51"/>
    <col min="5653" max="5653" width="1.140625" style="51" customWidth="1"/>
    <col min="5654" max="5654" width="7.5703125" style="51" customWidth="1"/>
    <col min="5655" max="5669" width="7.140625" style="51" customWidth="1"/>
    <col min="5670" max="5671" width="1.42578125" style="51" customWidth="1"/>
    <col min="5672" max="5672" width="6.42578125" style="51" customWidth="1"/>
    <col min="5673" max="5674" width="8.7109375" style="51" bestFit="1" customWidth="1"/>
    <col min="5675" max="5908" width="9.140625" style="51"/>
    <col min="5909" max="5909" width="1.140625" style="51" customWidth="1"/>
    <col min="5910" max="5910" width="7.5703125" style="51" customWidth="1"/>
    <col min="5911" max="5925" width="7.140625" style="51" customWidth="1"/>
    <col min="5926" max="5927" width="1.42578125" style="51" customWidth="1"/>
    <col min="5928" max="5928" width="6.42578125" style="51" customWidth="1"/>
    <col min="5929" max="5930" width="8.7109375" style="51" bestFit="1" customWidth="1"/>
    <col min="5931" max="6164" width="9.140625" style="51"/>
    <col min="6165" max="6165" width="1.140625" style="51" customWidth="1"/>
    <col min="6166" max="6166" width="7.5703125" style="51" customWidth="1"/>
    <col min="6167" max="6181" width="7.140625" style="51" customWidth="1"/>
    <col min="6182" max="6183" width="1.42578125" style="51" customWidth="1"/>
    <col min="6184" max="6184" width="6.42578125" style="51" customWidth="1"/>
    <col min="6185" max="6186" width="8.7109375" style="51" bestFit="1" customWidth="1"/>
    <col min="6187" max="6420" width="9.140625" style="51"/>
    <col min="6421" max="6421" width="1.140625" style="51" customWidth="1"/>
    <col min="6422" max="6422" width="7.5703125" style="51" customWidth="1"/>
    <col min="6423" max="6437" width="7.140625" style="51" customWidth="1"/>
    <col min="6438" max="6439" width="1.42578125" style="51" customWidth="1"/>
    <col min="6440" max="6440" width="6.42578125" style="51" customWidth="1"/>
    <col min="6441" max="6442" width="8.7109375" style="51" bestFit="1" customWidth="1"/>
    <col min="6443" max="6676" width="9.140625" style="51"/>
    <col min="6677" max="6677" width="1.140625" style="51" customWidth="1"/>
    <col min="6678" max="6678" width="7.5703125" style="51" customWidth="1"/>
    <col min="6679" max="6693" width="7.140625" style="51" customWidth="1"/>
    <col min="6694" max="6695" width="1.42578125" style="51" customWidth="1"/>
    <col min="6696" max="6696" width="6.42578125" style="51" customWidth="1"/>
    <col min="6697" max="6698" width="8.7109375" style="51" bestFit="1" customWidth="1"/>
    <col min="6699" max="6932" width="9.140625" style="51"/>
    <col min="6933" max="6933" width="1.140625" style="51" customWidth="1"/>
    <col min="6934" max="6934" width="7.5703125" style="51" customWidth="1"/>
    <col min="6935" max="6949" width="7.140625" style="51" customWidth="1"/>
    <col min="6950" max="6951" width="1.42578125" style="51" customWidth="1"/>
    <col min="6952" max="6952" width="6.42578125" style="51" customWidth="1"/>
    <col min="6953" max="6954" width="8.7109375" style="51" bestFit="1" customWidth="1"/>
    <col min="6955" max="7188" width="9.140625" style="51"/>
    <col min="7189" max="7189" width="1.140625" style="51" customWidth="1"/>
    <col min="7190" max="7190" width="7.5703125" style="51" customWidth="1"/>
    <col min="7191" max="7205" width="7.140625" style="51" customWidth="1"/>
    <col min="7206" max="7207" width="1.42578125" style="51" customWidth="1"/>
    <col min="7208" max="7208" width="6.42578125" style="51" customWidth="1"/>
    <col min="7209" max="7210" width="8.7109375" style="51" bestFit="1" customWidth="1"/>
    <col min="7211" max="7444" width="9.140625" style="51"/>
    <col min="7445" max="7445" width="1.140625" style="51" customWidth="1"/>
    <col min="7446" max="7446" width="7.5703125" style="51" customWidth="1"/>
    <col min="7447" max="7461" width="7.140625" style="51" customWidth="1"/>
    <col min="7462" max="7463" width="1.42578125" style="51" customWidth="1"/>
    <col min="7464" max="7464" width="6.42578125" style="51" customWidth="1"/>
    <col min="7465" max="7466" width="8.7109375" style="51" bestFit="1" customWidth="1"/>
    <col min="7467" max="7700" width="9.140625" style="51"/>
    <col min="7701" max="7701" width="1.140625" style="51" customWidth="1"/>
    <col min="7702" max="7702" width="7.5703125" style="51" customWidth="1"/>
    <col min="7703" max="7717" width="7.140625" style="51" customWidth="1"/>
    <col min="7718" max="7719" width="1.42578125" style="51" customWidth="1"/>
    <col min="7720" max="7720" width="6.42578125" style="51" customWidth="1"/>
    <col min="7721" max="7722" width="8.7109375" style="51" bestFit="1" customWidth="1"/>
    <col min="7723" max="7956" width="9.140625" style="51"/>
    <col min="7957" max="7957" width="1.140625" style="51" customWidth="1"/>
    <col min="7958" max="7958" width="7.5703125" style="51" customWidth="1"/>
    <col min="7959" max="7973" width="7.140625" style="51" customWidth="1"/>
    <col min="7974" max="7975" width="1.42578125" style="51" customWidth="1"/>
    <col min="7976" max="7976" width="6.42578125" style="51" customWidth="1"/>
    <col min="7977" max="7978" width="8.7109375" style="51" bestFit="1" customWidth="1"/>
    <col min="7979" max="8212" width="9.140625" style="51"/>
    <col min="8213" max="8213" width="1.140625" style="51" customWidth="1"/>
    <col min="8214" max="8214" width="7.5703125" style="51" customWidth="1"/>
    <col min="8215" max="8229" width="7.140625" style="51" customWidth="1"/>
    <col min="8230" max="8231" width="1.42578125" style="51" customWidth="1"/>
    <col min="8232" max="8232" width="6.42578125" style="51" customWidth="1"/>
    <col min="8233" max="8234" width="8.7109375" style="51" bestFit="1" customWidth="1"/>
    <col min="8235" max="8468" width="9.140625" style="51"/>
    <col min="8469" max="8469" width="1.140625" style="51" customWidth="1"/>
    <col min="8470" max="8470" width="7.5703125" style="51" customWidth="1"/>
    <col min="8471" max="8485" width="7.140625" style="51" customWidth="1"/>
    <col min="8486" max="8487" width="1.42578125" style="51" customWidth="1"/>
    <col min="8488" max="8488" width="6.42578125" style="51" customWidth="1"/>
    <col min="8489" max="8490" width="8.7109375" style="51" bestFit="1" customWidth="1"/>
    <col min="8491" max="8724" width="9.140625" style="51"/>
    <col min="8725" max="8725" width="1.140625" style="51" customWidth="1"/>
    <col min="8726" max="8726" width="7.5703125" style="51" customWidth="1"/>
    <col min="8727" max="8741" width="7.140625" style="51" customWidth="1"/>
    <col min="8742" max="8743" width="1.42578125" style="51" customWidth="1"/>
    <col min="8744" max="8744" width="6.42578125" style="51" customWidth="1"/>
    <col min="8745" max="8746" width="8.7109375" style="51" bestFit="1" customWidth="1"/>
    <col min="8747" max="8980" width="9.140625" style="51"/>
    <col min="8981" max="8981" width="1.140625" style="51" customWidth="1"/>
    <col min="8982" max="8982" width="7.5703125" style="51" customWidth="1"/>
    <col min="8983" max="8997" width="7.140625" style="51" customWidth="1"/>
    <col min="8998" max="8999" width="1.42578125" style="51" customWidth="1"/>
    <col min="9000" max="9000" width="6.42578125" style="51" customWidth="1"/>
    <col min="9001" max="9002" width="8.7109375" style="51" bestFit="1" customWidth="1"/>
    <col min="9003" max="9236" width="9.140625" style="51"/>
    <col min="9237" max="9237" width="1.140625" style="51" customWidth="1"/>
    <col min="9238" max="9238" width="7.5703125" style="51" customWidth="1"/>
    <col min="9239" max="9253" width="7.140625" style="51" customWidth="1"/>
    <col min="9254" max="9255" width="1.42578125" style="51" customWidth="1"/>
    <col min="9256" max="9256" width="6.42578125" style="51" customWidth="1"/>
    <col min="9257" max="9258" width="8.7109375" style="51" bestFit="1" customWidth="1"/>
    <col min="9259" max="9492" width="9.140625" style="51"/>
    <col min="9493" max="9493" width="1.140625" style="51" customWidth="1"/>
    <col min="9494" max="9494" width="7.5703125" style="51" customWidth="1"/>
    <col min="9495" max="9509" width="7.140625" style="51" customWidth="1"/>
    <col min="9510" max="9511" width="1.42578125" style="51" customWidth="1"/>
    <col min="9512" max="9512" width="6.42578125" style="51" customWidth="1"/>
    <col min="9513" max="9514" width="8.7109375" style="51" bestFit="1" customWidth="1"/>
    <col min="9515" max="9748" width="9.140625" style="51"/>
    <col min="9749" max="9749" width="1.140625" style="51" customWidth="1"/>
    <col min="9750" max="9750" width="7.5703125" style="51" customWidth="1"/>
    <col min="9751" max="9765" width="7.140625" style="51" customWidth="1"/>
    <col min="9766" max="9767" width="1.42578125" style="51" customWidth="1"/>
    <col min="9768" max="9768" width="6.42578125" style="51" customWidth="1"/>
    <col min="9769" max="9770" width="8.7109375" style="51" bestFit="1" customWidth="1"/>
    <col min="9771" max="10004" width="9.140625" style="51"/>
    <col min="10005" max="10005" width="1.140625" style="51" customWidth="1"/>
    <col min="10006" max="10006" width="7.5703125" style="51" customWidth="1"/>
    <col min="10007" max="10021" width="7.140625" style="51" customWidth="1"/>
    <col min="10022" max="10023" width="1.42578125" style="51" customWidth="1"/>
    <col min="10024" max="10024" width="6.42578125" style="51" customWidth="1"/>
    <col min="10025" max="10026" width="8.7109375" style="51" bestFit="1" customWidth="1"/>
    <col min="10027" max="10260" width="9.140625" style="51"/>
    <col min="10261" max="10261" width="1.140625" style="51" customWidth="1"/>
    <col min="10262" max="10262" width="7.5703125" style="51" customWidth="1"/>
    <col min="10263" max="10277" width="7.140625" style="51" customWidth="1"/>
    <col min="10278" max="10279" width="1.42578125" style="51" customWidth="1"/>
    <col min="10280" max="10280" width="6.42578125" style="51" customWidth="1"/>
    <col min="10281" max="10282" width="8.7109375" style="51" bestFit="1" customWidth="1"/>
    <col min="10283" max="10516" width="9.140625" style="51"/>
    <col min="10517" max="10517" width="1.140625" style="51" customWidth="1"/>
    <col min="10518" max="10518" width="7.5703125" style="51" customWidth="1"/>
    <col min="10519" max="10533" width="7.140625" style="51" customWidth="1"/>
    <col min="10534" max="10535" width="1.42578125" style="51" customWidth="1"/>
    <col min="10536" max="10536" width="6.42578125" style="51" customWidth="1"/>
    <col min="10537" max="10538" width="8.7109375" style="51" bestFit="1" customWidth="1"/>
    <col min="10539" max="10772" width="9.140625" style="51"/>
    <col min="10773" max="10773" width="1.140625" style="51" customWidth="1"/>
    <col min="10774" max="10774" width="7.5703125" style="51" customWidth="1"/>
    <col min="10775" max="10789" width="7.140625" style="51" customWidth="1"/>
    <col min="10790" max="10791" width="1.42578125" style="51" customWidth="1"/>
    <col min="10792" max="10792" width="6.42578125" style="51" customWidth="1"/>
    <col min="10793" max="10794" width="8.7109375" style="51" bestFit="1" customWidth="1"/>
    <col min="10795" max="11028" width="9.140625" style="51"/>
    <col min="11029" max="11029" width="1.140625" style="51" customWidth="1"/>
    <col min="11030" max="11030" width="7.5703125" style="51" customWidth="1"/>
    <col min="11031" max="11045" width="7.140625" style="51" customWidth="1"/>
    <col min="11046" max="11047" width="1.42578125" style="51" customWidth="1"/>
    <col min="11048" max="11048" width="6.42578125" style="51" customWidth="1"/>
    <col min="11049" max="11050" width="8.7109375" style="51" bestFit="1" customWidth="1"/>
    <col min="11051" max="11284" width="9.140625" style="51"/>
    <col min="11285" max="11285" width="1.140625" style="51" customWidth="1"/>
    <col min="11286" max="11286" width="7.5703125" style="51" customWidth="1"/>
    <col min="11287" max="11301" width="7.140625" style="51" customWidth="1"/>
    <col min="11302" max="11303" width="1.42578125" style="51" customWidth="1"/>
    <col min="11304" max="11304" width="6.42578125" style="51" customWidth="1"/>
    <col min="11305" max="11306" width="8.7109375" style="51" bestFit="1" customWidth="1"/>
    <col min="11307" max="11540" width="9.140625" style="51"/>
    <col min="11541" max="11541" width="1.140625" style="51" customWidth="1"/>
    <col min="11542" max="11542" width="7.5703125" style="51" customWidth="1"/>
    <col min="11543" max="11557" width="7.140625" style="51" customWidth="1"/>
    <col min="11558" max="11559" width="1.42578125" style="51" customWidth="1"/>
    <col min="11560" max="11560" width="6.42578125" style="51" customWidth="1"/>
    <col min="11561" max="11562" width="8.7109375" style="51" bestFit="1" customWidth="1"/>
    <col min="11563" max="11796" width="9.140625" style="51"/>
    <col min="11797" max="11797" width="1.140625" style="51" customWidth="1"/>
    <col min="11798" max="11798" width="7.5703125" style="51" customWidth="1"/>
    <col min="11799" max="11813" width="7.140625" style="51" customWidth="1"/>
    <col min="11814" max="11815" width="1.42578125" style="51" customWidth="1"/>
    <col min="11816" max="11816" width="6.42578125" style="51" customWidth="1"/>
    <col min="11817" max="11818" width="8.7109375" style="51" bestFit="1" customWidth="1"/>
    <col min="11819" max="12052" width="9.140625" style="51"/>
    <col min="12053" max="12053" width="1.140625" style="51" customWidth="1"/>
    <col min="12054" max="12054" width="7.5703125" style="51" customWidth="1"/>
    <col min="12055" max="12069" width="7.140625" style="51" customWidth="1"/>
    <col min="12070" max="12071" width="1.42578125" style="51" customWidth="1"/>
    <col min="12072" max="12072" width="6.42578125" style="51" customWidth="1"/>
    <col min="12073" max="12074" width="8.7109375" style="51" bestFit="1" customWidth="1"/>
    <col min="12075" max="12308" width="9.140625" style="51"/>
    <col min="12309" max="12309" width="1.140625" style="51" customWidth="1"/>
    <col min="12310" max="12310" width="7.5703125" style="51" customWidth="1"/>
    <col min="12311" max="12325" width="7.140625" style="51" customWidth="1"/>
    <col min="12326" max="12327" width="1.42578125" style="51" customWidth="1"/>
    <col min="12328" max="12328" width="6.42578125" style="51" customWidth="1"/>
    <col min="12329" max="12330" width="8.7109375" style="51" bestFit="1" customWidth="1"/>
    <col min="12331" max="12564" width="9.140625" style="51"/>
    <col min="12565" max="12565" width="1.140625" style="51" customWidth="1"/>
    <col min="12566" max="12566" width="7.5703125" style="51" customWidth="1"/>
    <col min="12567" max="12581" width="7.140625" style="51" customWidth="1"/>
    <col min="12582" max="12583" width="1.42578125" style="51" customWidth="1"/>
    <col min="12584" max="12584" width="6.42578125" style="51" customWidth="1"/>
    <col min="12585" max="12586" width="8.7109375" style="51" bestFit="1" customWidth="1"/>
    <col min="12587" max="12820" width="9.140625" style="51"/>
    <col min="12821" max="12821" width="1.140625" style="51" customWidth="1"/>
    <col min="12822" max="12822" width="7.5703125" style="51" customWidth="1"/>
    <col min="12823" max="12837" width="7.140625" style="51" customWidth="1"/>
    <col min="12838" max="12839" width="1.42578125" style="51" customWidth="1"/>
    <col min="12840" max="12840" width="6.42578125" style="51" customWidth="1"/>
    <col min="12841" max="12842" width="8.7109375" style="51" bestFit="1" customWidth="1"/>
    <col min="12843" max="13076" width="9.140625" style="51"/>
    <col min="13077" max="13077" width="1.140625" style="51" customWidth="1"/>
    <col min="13078" max="13078" width="7.5703125" style="51" customWidth="1"/>
    <col min="13079" max="13093" width="7.140625" style="51" customWidth="1"/>
    <col min="13094" max="13095" width="1.42578125" style="51" customWidth="1"/>
    <col min="13096" max="13096" width="6.42578125" style="51" customWidth="1"/>
    <col min="13097" max="13098" width="8.7109375" style="51" bestFit="1" customWidth="1"/>
    <col min="13099" max="13332" width="9.140625" style="51"/>
    <col min="13333" max="13333" width="1.140625" style="51" customWidth="1"/>
    <col min="13334" max="13334" width="7.5703125" style="51" customWidth="1"/>
    <col min="13335" max="13349" width="7.140625" style="51" customWidth="1"/>
    <col min="13350" max="13351" width="1.42578125" style="51" customWidth="1"/>
    <col min="13352" max="13352" width="6.42578125" style="51" customWidth="1"/>
    <col min="13353" max="13354" width="8.7109375" style="51" bestFit="1" customWidth="1"/>
    <col min="13355" max="13588" width="9.140625" style="51"/>
    <col min="13589" max="13589" width="1.140625" style="51" customWidth="1"/>
    <col min="13590" max="13590" width="7.5703125" style="51" customWidth="1"/>
    <col min="13591" max="13605" width="7.140625" style="51" customWidth="1"/>
    <col min="13606" max="13607" width="1.42578125" style="51" customWidth="1"/>
    <col min="13608" max="13608" width="6.42578125" style="51" customWidth="1"/>
    <col min="13609" max="13610" width="8.7109375" style="51" bestFit="1" customWidth="1"/>
    <col min="13611" max="13844" width="9.140625" style="51"/>
    <col min="13845" max="13845" width="1.140625" style="51" customWidth="1"/>
    <col min="13846" max="13846" width="7.5703125" style="51" customWidth="1"/>
    <col min="13847" max="13861" width="7.140625" style="51" customWidth="1"/>
    <col min="13862" max="13863" width="1.42578125" style="51" customWidth="1"/>
    <col min="13864" max="13864" width="6.42578125" style="51" customWidth="1"/>
    <col min="13865" max="13866" width="8.7109375" style="51" bestFit="1" customWidth="1"/>
    <col min="13867" max="14100" width="9.140625" style="51"/>
    <col min="14101" max="14101" width="1.140625" style="51" customWidth="1"/>
    <col min="14102" max="14102" width="7.5703125" style="51" customWidth="1"/>
    <col min="14103" max="14117" width="7.140625" style="51" customWidth="1"/>
    <col min="14118" max="14119" width="1.42578125" style="51" customWidth="1"/>
    <col min="14120" max="14120" width="6.42578125" style="51" customWidth="1"/>
    <col min="14121" max="14122" width="8.7109375" style="51" bestFit="1" customWidth="1"/>
    <col min="14123" max="14356" width="9.140625" style="51"/>
    <col min="14357" max="14357" width="1.140625" style="51" customWidth="1"/>
    <col min="14358" max="14358" width="7.5703125" style="51" customWidth="1"/>
    <col min="14359" max="14373" width="7.140625" style="51" customWidth="1"/>
    <col min="14374" max="14375" width="1.42578125" style="51" customWidth="1"/>
    <col min="14376" max="14376" width="6.42578125" style="51" customWidth="1"/>
    <col min="14377" max="14378" width="8.7109375" style="51" bestFit="1" customWidth="1"/>
    <col min="14379" max="14612" width="9.140625" style="51"/>
    <col min="14613" max="14613" width="1.140625" style="51" customWidth="1"/>
    <col min="14614" max="14614" width="7.5703125" style="51" customWidth="1"/>
    <col min="14615" max="14629" width="7.140625" style="51" customWidth="1"/>
    <col min="14630" max="14631" width="1.42578125" style="51" customWidth="1"/>
    <col min="14632" max="14632" width="6.42578125" style="51" customWidth="1"/>
    <col min="14633" max="14634" width="8.7109375" style="51" bestFit="1" customWidth="1"/>
    <col min="14635" max="14868" width="9.140625" style="51"/>
    <col min="14869" max="14869" width="1.140625" style="51" customWidth="1"/>
    <col min="14870" max="14870" width="7.5703125" style="51" customWidth="1"/>
    <col min="14871" max="14885" width="7.140625" style="51" customWidth="1"/>
    <col min="14886" max="14887" width="1.42578125" style="51" customWidth="1"/>
    <col min="14888" max="14888" width="6.42578125" style="51" customWidth="1"/>
    <col min="14889" max="14890" width="8.7109375" style="51" bestFit="1" customWidth="1"/>
    <col min="14891" max="15124" width="9.140625" style="51"/>
    <col min="15125" max="15125" width="1.140625" style="51" customWidth="1"/>
    <col min="15126" max="15126" width="7.5703125" style="51" customWidth="1"/>
    <col min="15127" max="15141" width="7.140625" style="51" customWidth="1"/>
    <col min="15142" max="15143" width="1.42578125" style="51" customWidth="1"/>
    <col min="15144" max="15144" width="6.42578125" style="51" customWidth="1"/>
    <col min="15145" max="15146" width="8.7109375" style="51" bestFit="1" customWidth="1"/>
    <col min="15147" max="15380" width="9.140625" style="51"/>
    <col min="15381" max="15381" width="1.140625" style="51" customWidth="1"/>
    <col min="15382" max="15382" width="7.5703125" style="51" customWidth="1"/>
    <col min="15383" max="15397" width="7.140625" style="51" customWidth="1"/>
    <col min="15398" max="15399" width="1.42578125" style="51" customWidth="1"/>
    <col min="15400" max="15400" width="6.42578125" style="51" customWidth="1"/>
    <col min="15401" max="15402" width="8.7109375" style="51" bestFit="1" customWidth="1"/>
    <col min="15403" max="15636" width="9.140625" style="51"/>
    <col min="15637" max="15637" width="1.140625" style="51" customWidth="1"/>
    <col min="15638" max="15638" width="7.5703125" style="51" customWidth="1"/>
    <col min="15639" max="15653" width="7.140625" style="51" customWidth="1"/>
    <col min="15654" max="15655" width="1.42578125" style="51" customWidth="1"/>
    <col min="15656" max="15656" width="6.42578125" style="51" customWidth="1"/>
    <col min="15657" max="15658" width="8.7109375" style="51" bestFit="1" customWidth="1"/>
    <col min="15659" max="15892" width="9.140625" style="51"/>
    <col min="15893" max="15893" width="1.140625" style="51" customWidth="1"/>
    <col min="15894" max="15894" width="7.5703125" style="51" customWidth="1"/>
    <col min="15895" max="15909" width="7.140625" style="51" customWidth="1"/>
    <col min="15910" max="15911" width="1.42578125" style="51" customWidth="1"/>
    <col min="15912" max="15912" width="6.42578125" style="51" customWidth="1"/>
    <col min="15913" max="15914" width="8.7109375" style="51" bestFit="1" customWidth="1"/>
    <col min="15915" max="16148" width="9.140625" style="51"/>
    <col min="16149" max="16149" width="1.140625" style="51" customWidth="1"/>
    <col min="16150" max="16150" width="7.5703125" style="51" customWidth="1"/>
    <col min="16151" max="16165" width="7.140625" style="51" customWidth="1"/>
    <col min="16166" max="16167" width="1.42578125" style="51" customWidth="1"/>
    <col min="16168" max="16168" width="6.42578125" style="51" customWidth="1"/>
    <col min="16169" max="16170" width="8.7109375" style="51" bestFit="1" customWidth="1"/>
    <col min="16171" max="16384" width="9.140625" style="51"/>
  </cols>
  <sheetData>
    <row r="1" spans="1:50" ht="18" customHeight="1"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50" ht="33" customHeight="1">
      <c r="B2" s="462" t="s">
        <v>43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</row>
    <row r="3" spans="1:50" ht="9.75" customHeight="1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5"/>
      <c r="AE3" s="55"/>
      <c r="AF3" s="55"/>
      <c r="AG3" s="55"/>
      <c r="AH3" s="56"/>
      <c r="AI3" s="56"/>
      <c r="AJ3" s="57"/>
      <c r="AK3" s="57"/>
      <c r="AO3" s="58"/>
    </row>
    <row r="4" spans="1:50" ht="9.75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5"/>
      <c r="AE4" s="55"/>
      <c r="AF4" s="55"/>
      <c r="AG4" s="55"/>
      <c r="AH4" s="56"/>
      <c r="AI4" s="56"/>
      <c r="AJ4" s="57"/>
      <c r="AK4" s="57"/>
      <c r="AO4" s="58"/>
    </row>
    <row r="5" spans="1:50" s="121" customFormat="1" ht="18" customHeight="1">
      <c r="B5" s="463" t="s">
        <v>16</v>
      </c>
      <c r="C5" s="463"/>
      <c r="D5" s="59" t="s">
        <v>17</v>
      </c>
      <c r="E5" s="346">
        <v>2</v>
      </c>
      <c r="F5" s="346"/>
      <c r="G5" s="60" t="s">
        <v>18</v>
      </c>
      <c r="H5" s="59" t="s">
        <v>19</v>
      </c>
      <c r="I5" s="346">
        <v>0.8</v>
      </c>
      <c r="J5" s="346"/>
      <c r="K5" s="347" t="s">
        <v>20</v>
      </c>
      <c r="L5" s="347"/>
      <c r="Q5" s="384" t="s">
        <v>25</v>
      </c>
      <c r="R5" s="385"/>
      <c r="X5" s="124"/>
      <c r="AD5" s="125"/>
      <c r="AH5" s="25"/>
      <c r="AI5" s="61">
        <v>0.2</v>
      </c>
      <c r="AJ5" s="26"/>
      <c r="AK5" s="26"/>
      <c r="AL5" s="26"/>
      <c r="AM5" s="26"/>
    </row>
    <row r="6" spans="1:50" s="121" customFormat="1" ht="18" customHeight="1">
      <c r="B6" s="124" t="s">
        <v>23</v>
      </c>
      <c r="C6" s="124"/>
      <c r="D6" s="361">
        <v>60</v>
      </c>
      <c r="E6" s="361"/>
      <c r="F6" s="124"/>
      <c r="Q6" s="33">
        <v>0.2</v>
      </c>
      <c r="R6" s="34">
        <v>1.1000000000000001</v>
      </c>
      <c r="AH6" s="25"/>
      <c r="AI6" s="61">
        <v>0.25</v>
      </c>
      <c r="AJ6" s="28"/>
      <c r="AK6" s="28"/>
      <c r="AL6" s="28"/>
      <c r="AM6" s="28"/>
    </row>
    <row r="7" spans="1:50" s="121" customFormat="1" ht="18" customHeight="1">
      <c r="B7" s="29" t="s">
        <v>26</v>
      </c>
      <c r="D7" s="361">
        <v>16</v>
      </c>
      <c r="E7" s="361"/>
      <c r="F7" s="27"/>
      <c r="G7" s="124" t="s">
        <v>21</v>
      </c>
      <c r="H7" s="124"/>
      <c r="I7" s="62">
        <f>(E5-(3*I9))+(0.866025*I5)</f>
        <v>1.3071793539448984</v>
      </c>
      <c r="J7" s="124" t="s">
        <v>22</v>
      </c>
      <c r="K7" s="124"/>
      <c r="N7" s="123"/>
      <c r="O7" s="123"/>
      <c r="P7" s="32"/>
      <c r="Q7" s="33">
        <v>0.25</v>
      </c>
      <c r="R7" s="34">
        <v>1.35</v>
      </c>
      <c r="AD7" s="125"/>
      <c r="AH7" s="25"/>
      <c r="AI7" s="61">
        <v>0.28000000000000003</v>
      </c>
      <c r="AJ7" s="28"/>
      <c r="AK7" s="28"/>
      <c r="AL7" s="28"/>
      <c r="AM7" s="28"/>
    </row>
    <row r="8" spans="1:50" ht="18" customHeight="1">
      <c r="B8" s="54"/>
      <c r="C8" s="54"/>
      <c r="D8" s="54"/>
      <c r="E8" s="54"/>
      <c r="F8" s="54"/>
      <c r="G8" s="464" t="s">
        <v>24</v>
      </c>
      <c r="H8" s="464"/>
      <c r="I8" s="122">
        <v>0.45500000000000002</v>
      </c>
      <c r="J8" s="120" t="s">
        <v>22</v>
      </c>
      <c r="K8" s="120"/>
      <c r="N8" s="54"/>
      <c r="O8" s="54"/>
      <c r="P8" s="54"/>
      <c r="Q8" s="33">
        <v>0.28000000000000003</v>
      </c>
      <c r="R8" s="34">
        <v>1.65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5"/>
      <c r="AE8" s="55"/>
      <c r="AF8" s="55"/>
      <c r="AG8" s="55"/>
      <c r="AH8" s="56"/>
      <c r="AI8" s="56"/>
      <c r="AJ8" s="57"/>
      <c r="AK8" s="57"/>
      <c r="AO8" s="58"/>
    </row>
    <row r="9" spans="1:50" ht="18" customHeight="1">
      <c r="B9" s="54"/>
      <c r="C9" s="54"/>
      <c r="D9" s="54"/>
      <c r="E9" s="54"/>
      <c r="F9" s="54"/>
      <c r="G9" s="463" t="s">
        <v>27</v>
      </c>
      <c r="H9" s="463"/>
      <c r="I9" s="119">
        <f>1/(COS(([4]Data!H20/2)*PI()/180))*(I5/2)</f>
        <v>0.4618802153517006</v>
      </c>
      <c r="J9" s="120" t="s">
        <v>22</v>
      </c>
      <c r="K9" s="120"/>
      <c r="N9" s="54"/>
      <c r="O9" s="54"/>
      <c r="P9" s="54"/>
      <c r="Q9" s="33">
        <v>0.45500000000000002</v>
      </c>
      <c r="R9" s="34">
        <v>2.0499999999999998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5"/>
      <c r="AF9" s="55"/>
      <c r="AG9" s="55"/>
      <c r="AH9" s="56"/>
      <c r="AI9" s="56"/>
      <c r="AJ9" s="57"/>
      <c r="AK9" s="57"/>
      <c r="AO9" s="58"/>
    </row>
    <row r="10" spans="1:50" ht="18" customHeight="1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4">
        <v>0.53</v>
      </c>
      <c r="R10" s="34">
        <v>2.5499999999999998</v>
      </c>
      <c r="S10" s="52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7"/>
      <c r="AE10" s="57"/>
      <c r="AF10" s="57"/>
      <c r="AG10" s="57"/>
      <c r="AL10" s="57" t="s">
        <v>44</v>
      </c>
    </row>
    <row r="11" spans="1:50" ht="18" customHeight="1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7" t="s">
        <v>44</v>
      </c>
      <c r="P11" s="54"/>
      <c r="Q11" s="39">
        <v>0.62</v>
      </c>
      <c r="R11" s="34">
        <v>3.2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7"/>
      <c r="AE11" s="57"/>
      <c r="AF11" s="57"/>
      <c r="AG11" s="57"/>
      <c r="AL11" s="57"/>
    </row>
    <row r="12" spans="1:50" ht="21.75">
      <c r="B12" s="465" t="s">
        <v>45</v>
      </c>
      <c r="C12" s="467" t="s">
        <v>46</v>
      </c>
      <c r="D12" s="468"/>
      <c r="E12" s="469"/>
      <c r="F12" s="473" t="s">
        <v>47</v>
      </c>
      <c r="G12" s="474"/>
      <c r="H12" s="475" t="s">
        <v>48</v>
      </c>
      <c r="I12" s="476"/>
      <c r="J12" s="477" t="s">
        <v>49</v>
      </c>
      <c r="K12" s="478"/>
      <c r="L12" s="481" t="s">
        <v>50</v>
      </c>
      <c r="M12" s="483" t="s">
        <v>51</v>
      </c>
      <c r="N12" s="484"/>
      <c r="O12" s="485" t="s">
        <v>52</v>
      </c>
      <c r="Q12" s="39">
        <v>0.72499999999999998</v>
      </c>
      <c r="R12" s="33">
        <v>4</v>
      </c>
      <c r="AV12" s="66"/>
      <c r="AW12" s="66"/>
      <c r="AX12" s="66"/>
    </row>
    <row r="13" spans="1:50" ht="18" customHeight="1">
      <c r="B13" s="466"/>
      <c r="C13" s="470"/>
      <c r="D13" s="471"/>
      <c r="E13" s="472"/>
      <c r="F13" s="487" t="s">
        <v>53</v>
      </c>
      <c r="G13" s="488"/>
      <c r="H13" s="489" t="s">
        <v>54</v>
      </c>
      <c r="I13" s="490"/>
      <c r="J13" s="479"/>
      <c r="K13" s="480"/>
      <c r="L13" s="482"/>
      <c r="M13" s="491" t="s">
        <v>53</v>
      </c>
      <c r="N13" s="492"/>
      <c r="O13" s="486"/>
      <c r="Q13" s="34">
        <v>0.89500000000000002</v>
      </c>
      <c r="R13" s="40"/>
      <c r="AV13" s="66"/>
      <c r="AW13" s="66"/>
      <c r="AX13" s="66"/>
    </row>
    <row r="14" spans="1:50" ht="18" customHeight="1">
      <c r="B14" s="67" t="s">
        <v>55</v>
      </c>
      <c r="C14" s="495" t="s">
        <v>33</v>
      </c>
      <c r="D14" s="496"/>
      <c r="E14" s="497"/>
      <c r="F14" s="504">
        <f>[4]Data!AF26</f>
        <v>1.9999999999242846E-5</v>
      </c>
      <c r="G14" s="505"/>
      <c r="H14" s="500" t="s">
        <v>56</v>
      </c>
      <c r="I14" s="501"/>
      <c r="J14" s="500">
        <v>1</v>
      </c>
      <c r="K14" s="501"/>
      <c r="L14" s="67">
        <v>1</v>
      </c>
      <c r="M14" s="502">
        <f>F14/J14</f>
        <v>1.9999999999242846E-5</v>
      </c>
      <c r="N14" s="503"/>
      <c r="O14" s="68">
        <v>2</v>
      </c>
      <c r="Q14" s="7"/>
      <c r="R14" s="506" t="s">
        <v>149</v>
      </c>
      <c r="S14" s="493" t="s">
        <v>150</v>
      </c>
      <c r="T14" s="494"/>
      <c r="U14" s="7"/>
      <c r="V14" s="7"/>
      <c r="W14" s="7"/>
      <c r="X14" s="7"/>
      <c r="AO14" s="69"/>
      <c r="AV14" s="66"/>
      <c r="AW14" s="66"/>
      <c r="AX14" s="66"/>
    </row>
    <row r="15" spans="1:50" ht="18" customHeight="1">
      <c r="B15" s="70" t="s">
        <v>57</v>
      </c>
      <c r="C15" s="495" t="s">
        <v>58</v>
      </c>
      <c r="D15" s="496"/>
      <c r="E15" s="497"/>
      <c r="F15" s="498">
        <f>'[4]Cert of STD'!X6</f>
        <v>3.7033106020840359E-4</v>
      </c>
      <c r="G15" s="499"/>
      <c r="H15" s="500" t="s">
        <v>56</v>
      </c>
      <c r="I15" s="501"/>
      <c r="J15" s="500">
        <v>2</v>
      </c>
      <c r="K15" s="501"/>
      <c r="L15" s="67">
        <v>1</v>
      </c>
      <c r="M15" s="502">
        <f>F15/2</f>
        <v>1.8516553010420179E-4</v>
      </c>
      <c r="N15" s="503"/>
      <c r="O15" s="71"/>
      <c r="Q15" s="7"/>
      <c r="R15" s="506"/>
      <c r="S15" s="494"/>
      <c r="T15" s="494"/>
      <c r="U15" s="7"/>
      <c r="V15" s="7"/>
      <c r="W15" s="7"/>
      <c r="X15" s="7"/>
      <c r="AO15" s="69"/>
      <c r="AV15" s="66"/>
      <c r="AW15" s="66"/>
      <c r="AX15" s="66"/>
    </row>
    <row r="16" spans="1:50" ht="18" customHeight="1">
      <c r="A16" s="66"/>
      <c r="B16" s="70" t="s">
        <v>59</v>
      </c>
      <c r="C16" s="495" t="s">
        <v>60</v>
      </c>
      <c r="D16" s="496"/>
      <c r="E16" s="497"/>
      <c r="F16" s="498">
        <f>'[4]Cert of STD'!F10</f>
        <v>2.0999999999999998E-4</v>
      </c>
      <c r="G16" s="499"/>
      <c r="H16" s="500" t="s">
        <v>56</v>
      </c>
      <c r="I16" s="501"/>
      <c r="J16" s="500">
        <v>2</v>
      </c>
      <c r="K16" s="501"/>
      <c r="L16" s="67">
        <v>1</v>
      </c>
      <c r="M16" s="502">
        <f>F16/J16</f>
        <v>1.0499999999999999E-4</v>
      </c>
      <c r="N16" s="503"/>
      <c r="O16" s="71"/>
      <c r="Q16" s="7"/>
      <c r="R16" s="7"/>
      <c r="S16" s="493" t="s">
        <v>151</v>
      </c>
      <c r="T16" s="494" t="s">
        <v>152</v>
      </c>
      <c r="U16" s="494"/>
      <c r="V16" s="494"/>
      <c r="W16" s="7"/>
      <c r="X16" s="7"/>
      <c r="AO16" s="69"/>
      <c r="AV16" s="66"/>
      <c r="AW16" s="66"/>
      <c r="AX16" s="66"/>
    </row>
    <row r="17" spans="1:50" ht="18" customHeight="1">
      <c r="A17" s="66"/>
      <c r="B17" s="70" t="s">
        <v>61</v>
      </c>
      <c r="C17" s="495" t="s">
        <v>62</v>
      </c>
      <c r="D17" s="496"/>
      <c r="E17" s="497"/>
      <c r="F17" s="507">
        <f>(V18*1000)*2</f>
        <v>6.7378777560675137E-4</v>
      </c>
      <c r="G17" s="508"/>
      <c r="H17" s="500" t="s">
        <v>63</v>
      </c>
      <c r="I17" s="501"/>
      <c r="J17" s="509" t="s">
        <v>64</v>
      </c>
      <c r="K17" s="510"/>
      <c r="L17" s="67">
        <v>1</v>
      </c>
      <c r="M17" s="511">
        <f>F17/SQRT(3)</f>
        <v>3.8901155362323708E-4</v>
      </c>
      <c r="N17" s="512"/>
      <c r="O17" s="71"/>
      <c r="Q17" s="7"/>
      <c r="R17" s="7"/>
      <c r="S17" s="494"/>
      <c r="T17" s="494"/>
      <c r="U17" s="494"/>
      <c r="V17" s="494"/>
      <c r="W17" s="7"/>
      <c r="X17" s="7"/>
      <c r="AO17" s="69"/>
      <c r="AV17" s="66"/>
      <c r="AW17" s="66"/>
      <c r="AX17" s="66"/>
    </row>
    <row r="18" spans="1:50" s="66" customFormat="1" ht="18" customHeight="1">
      <c r="B18" s="70" t="s">
        <v>67</v>
      </c>
      <c r="C18" s="495" t="s">
        <v>153</v>
      </c>
      <c r="D18" s="496"/>
      <c r="E18" s="497"/>
      <c r="F18" s="513">
        <v>1.0000000000000001E-5</v>
      </c>
      <c r="G18" s="514"/>
      <c r="H18" s="500" t="s">
        <v>63</v>
      </c>
      <c r="I18" s="501"/>
      <c r="J18" s="509" t="s">
        <v>69</v>
      </c>
      <c r="K18" s="510"/>
      <c r="L18" s="67">
        <v>1</v>
      </c>
      <c r="M18" s="502">
        <f>(F18/2)/SQRT(3)</f>
        <v>2.8867513459481293E-6</v>
      </c>
      <c r="N18" s="503"/>
      <c r="O18" s="71"/>
      <c r="Q18" s="7"/>
      <c r="R18" s="8" t="s">
        <v>154</v>
      </c>
      <c r="S18" s="255">
        <f>((((9*V20^2)/(8*(T21/1000)))*(((1-W22^2)/(4*10^11))+((1-U22^2)/(2*10^11)))^2)^(1/3))</f>
        <v>1.6844694390168781E-7</v>
      </c>
      <c r="T18" s="8"/>
      <c r="U18" s="256" t="s">
        <v>155</v>
      </c>
      <c r="V18" s="257">
        <f>(SIN((60/2)*PI()/180)^(-5/3))*(0.5^(2/3))*S18</f>
        <v>3.3689388780337566E-7</v>
      </c>
      <c r="W18" s="7"/>
      <c r="X18" s="7"/>
      <c r="AO18" s="72"/>
    </row>
    <row r="19" spans="1:50" s="66" customFormat="1" ht="18" customHeight="1">
      <c r="B19" s="70" t="s">
        <v>72</v>
      </c>
      <c r="C19" s="495" t="s">
        <v>73</v>
      </c>
      <c r="D19" s="496"/>
      <c r="E19" s="497"/>
      <c r="F19" s="498">
        <f>(COS((D6/2)*PI()/180)/(SIN((D6/2)*PI()/180))^2)*((I8/1000)-(I9/1000))</f>
        <v>-2.3833765112321532E-5</v>
      </c>
      <c r="G19" s="499"/>
      <c r="H19" s="500" t="s">
        <v>63</v>
      </c>
      <c r="I19" s="501"/>
      <c r="J19" s="509" t="s">
        <v>64</v>
      </c>
      <c r="K19" s="510"/>
      <c r="L19" s="67">
        <v>1</v>
      </c>
      <c r="M19" s="511">
        <f>F19*((2*3.14)/360)*(15/60)*(1/SQRT(3))*1000</f>
        <v>-6.0010767234277239E-5</v>
      </c>
      <c r="N19" s="512"/>
      <c r="O19" s="71"/>
      <c r="Q19" s="7"/>
      <c r="R19" s="7"/>
      <c r="S19" s="8"/>
      <c r="T19" s="8"/>
      <c r="U19" s="8"/>
      <c r="V19" s="8"/>
      <c r="W19" s="7"/>
      <c r="X19" s="7"/>
      <c r="AO19" s="72"/>
      <c r="AV19" s="51"/>
      <c r="AW19" s="51"/>
      <c r="AX19" s="51"/>
    </row>
    <row r="20" spans="1:50" s="66" customFormat="1" ht="18" customHeight="1">
      <c r="B20" s="70" t="s">
        <v>74</v>
      </c>
      <c r="C20" s="495" t="s">
        <v>75</v>
      </c>
      <c r="D20" s="496"/>
      <c r="E20" s="497"/>
      <c r="F20" s="517">
        <v>2.0000000000000002E-5</v>
      </c>
      <c r="G20" s="518"/>
      <c r="H20" s="500" t="s">
        <v>63</v>
      </c>
      <c r="I20" s="501"/>
      <c r="J20" s="509" t="s">
        <v>64</v>
      </c>
      <c r="K20" s="510"/>
      <c r="L20" s="67">
        <v>1</v>
      </c>
      <c r="M20" s="519">
        <f>F20/SQRT(3)</f>
        <v>1.1547005383792517E-5</v>
      </c>
      <c r="N20" s="520"/>
      <c r="O20" s="71"/>
      <c r="Q20" s="258" t="s">
        <v>156</v>
      </c>
      <c r="R20" s="7" t="s">
        <v>157</v>
      </c>
      <c r="S20" s="7"/>
      <c r="T20" s="7"/>
      <c r="U20" s="7"/>
      <c r="V20" s="7">
        <v>0.2</v>
      </c>
      <c r="W20" s="7"/>
      <c r="X20" s="259"/>
      <c r="AO20" s="72"/>
      <c r="AV20" s="51"/>
      <c r="AW20" s="51"/>
      <c r="AX20" s="51"/>
    </row>
    <row r="21" spans="1:50" s="66" customFormat="1" ht="18" customHeight="1">
      <c r="B21" s="70" t="s">
        <v>76</v>
      </c>
      <c r="C21" s="495" t="s">
        <v>77</v>
      </c>
      <c r="D21" s="496"/>
      <c r="E21" s="497"/>
      <c r="F21" s="498">
        <f>((I5)*(11.5*10^-6)*1)</f>
        <v>9.2E-6</v>
      </c>
      <c r="G21" s="499"/>
      <c r="H21" s="500" t="s">
        <v>63</v>
      </c>
      <c r="I21" s="501"/>
      <c r="J21" s="509" t="s">
        <v>64</v>
      </c>
      <c r="K21" s="510"/>
      <c r="L21" s="67">
        <v>1</v>
      </c>
      <c r="M21" s="515">
        <f>F21/SQRT(3)</f>
        <v>5.3116224765445574E-6</v>
      </c>
      <c r="N21" s="516"/>
      <c r="O21" s="71"/>
      <c r="Q21" s="260" t="s">
        <v>158</v>
      </c>
      <c r="R21" s="7" t="s">
        <v>159</v>
      </c>
      <c r="S21" s="7"/>
      <c r="T21" s="7">
        <f>I8</f>
        <v>0.45500000000000002</v>
      </c>
      <c r="U21" s="7"/>
      <c r="V21" s="7"/>
      <c r="W21" s="7"/>
      <c r="X21" s="7"/>
      <c r="AO21" s="72"/>
      <c r="AV21" s="51"/>
      <c r="AW21" s="51"/>
      <c r="AX21" s="51"/>
    </row>
    <row r="22" spans="1:50" s="66" customFormat="1" ht="18" customHeight="1">
      <c r="B22" s="70" t="s">
        <v>78</v>
      </c>
      <c r="C22" s="495" t="s">
        <v>79</v>
      </c>
      <c r="D22" s="496"/>
      <c r="E22" s="497"/>
      <c r="F22" s="500"/>
      <c r="G22" s="501"/>
      <c r="H22" s="500" t="s">
        <v>56</v>
      </c>
      <c r="I22" s="501"/>
      <c r="J22" s="521"/>
      <c r="K22" s="522"/>
      <c r="L22" s="73"/>
      <c r="M22" s="511">
        <f>SQRT(M14^2+M15^2+M16^2+M17^2+M18^2+M19^2+M20^2+M21^2)</f>
        <v>4.4812100438960798E-4</v>
      </c>
      <c r="N22" s="512"/>
      <c r="O22" s="71">
        <f>(M22^4)/(((IF(M14&lt;=0,0.001,M14)^4)/9))</f>
        <v>2268316.9060934549</v>
      </c>
      <c r="Q22" s="258" t="s">
        <v>160</v>
      </c>
      <c r="R22" s="7" t="s">
        <v>161</v>
      </c>
      <c r="S22" s="7"/>
      <c r="T22" s="258" t="s">
        <v>162</v>
      </c>
      <c r="U22" s="261">
        <v>0.28000000000000003</v>
      </c>
      <c r="V22" s="258" t="s">
        <v>163</v>
      </c>
      <c r="W22" s="261">
        <v>0.25</v>
      </c>
      <c r="X22" s="13"/>
      <c r="AO22" s="72"/>
      <c r="AV22" s="51"/>
      <c r="AW22" s="51"/>
      <c r="AX22" s="51"/>
    </row>
    <row r="23" spans="1:50" s="66" customFormat="1" ht="18" customHeight="1">
      <c r="B23" s="70" t="s">
        <v>80</v>
      </c>
      <c r="C23" s="495" t="s">
        <v>81</v>
      </c>
      <c r="D23" s="496"/>
      <c r="E23" s="497"/>
      <c r="F23" s="500"/>
      <c r="G23" s="501"/>
      <c r="H23" s="500" t="s">
        <v>82</v>
      </c>
      <c r="I23" s="501"/>
      <c r="J23" s="521"/>
      <c r="K23" s="522"/>
      <c r="L23" s="73"/>
      <c r="M23" s="523">
        <f>M22*O23*1000</f>
        <v>0.896242008779216</v>
      </c>
      <c r="N23" s="524"/>
      <c r="O23" s="74" t="str">
        <f>IF(O22&gt;0,"2.00",TINV(0.0455,O22))</f>
        <v>2.00</v>
      </c>
      <c r="Q23" s="262" t="s">
        <v>164</v>
      </c>
      <c r="R23" s="263" t="s">
        <v>165</v>
      </c>
      <c r="S23" s="7"/>
      <c r="T23" s="258" t="s">
        <v>162</v>
      </c>
      <c r="U23" s="7" t="s">
        <v>166</v>
      </c>
      <c r="V23" s="258" t="s">
        <v>163</v>
      </c>
      <c r="W23" s="7" t="s">
        <v>167</v>
      </c>
      <c r="X23" s="7" t="s">
        <v>168</v>
      </c>
      <c r="AO23" s="72"/>
      <c r="AV23" s="51"/>
      <c r="AW23" s="51"/>
      <c r="AX23" s="51"/>
    </row>
    <row r="24" spans="1:50" s="66" customFormat="1" ht="18" hidden="1" customHeight="1">
      <c r="B24" s="75">
        <v>25</v>
      </c>
      <c r="C24" s="76">
        <v>0</v>
      </c>
      <c r="D24" s="77">
        <f t="shared" ref="D24:D39" si="0">C24/1</f>
        <v>0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8">
        <f>'[4]Cert of STD'!J18</f>
        <v>1.2</v>
      </c>
      <c r="Q24" s="79">
        <f t="shared" ref="Q24:Q39" si="1">P24/2</f>
        <v>0.6</v>
      </c>
      <c r="R24" s="78">
        <f>'[4]Cert of STD'!D14</f>
        <v>0.27</v>
      </c>
      <c r="S24" s="79">
        <f t="shared" ref="S24:S39" si="2">R24/2</f>
        <v>0.13500000000000001</v>
      </c>
      <c r="T24" s="80">
        <f t="shared" ref="T24" si="3">Y52*2</f>
        <v>0</v>
      </c>
      <c r="U24" s="81">
        <f t="shared" ref="U24:U39" si="4">T24/SQRT(3)</f>
        <v>0</v>
      </c>
      <c r="V24" s="82">
        <f>(1/16)*[4]Data!E28</f>
        <v>0</v>
      </c>
      <c r="W24" s="81">
        <f t="shared" ref="W24:Y39" si="5">(V24/SQRT(3))</f>
        <v>0</v>
      </c>
      <c r="X24" s="76" t="e">
        <f>#REF!</f>
        <v>#REF!</v>
      </c>
      <c r="Y24" s="81" t="e">
        <f t="shared" si="5"/>
        <v>#REF!</v>
      </c>
      <c r="Z24" s="81">
        <v>1</v>
      </c>
      <c r="AA24" s="83">
        <f t="shared" ref="AA24:AA39" si="6">Z24/SQRT(3)</f>
        <v>0.57735026918962584</v>
      </c>
      <c r="AB24" s="77" t="e">
        <f>#REF!</f>
        <v>#REF!</v>
      </c>
      <c r="AC24" s="84" t="e">
        <f t="shared" ref="AC24:AC39" si="7">AB24*((2*3.14)/360)*(15/60)*(1/SQRT(3))*10^6</f>
        <v>#REF!</v>
      </c>
      <c r="AD24" s="83" t="e">
        <f>#REF!</f>
        <v>#REF!</v>
      </c>
      <c r="AE24" s="83" t="e">
        <f t="shared" ref="AE24:AE39" si="8">AD24/SQRT(3)</f>
        <v>#REF!</v>
      </c>
      <c r="AF24" s="85">
        <f>((0.7)*(11.5*10^-6)*1)</f>
        <v>8.0499999999999992E-6</v>
      </c>
      <c r="AG24" s="77">
        <f t="shared" ref="AG24:AG39" si="9">AF24/SQRT(3)</f>
        <v>4.647669666976487E-6</v>
      </c>
      <c r="AH24" s="77" t="e">
        <f t="shared" ref="AH24:AH39" si="10">SQRT(D24^2+Q24^2+S24^2+U24^2+W24^2+Y24^2+AA24^2+AC24^2+AE24^2+AG24^2)</f>
        <v>#REF!</v>
      </c>
      <c r="AI24" s="86">
        <f t="shared" ref="AI24:AI39" si="11">D24/1</f>
        <v>0</v>
      </c>
      <c r="AJ24" s="71" t="e">
        <f t="shared" ref="AJ24:AJ39" si="12">(AH24^4)/(((IF(AI24&lt;=0,0.001,AI24)^4)/9))</f>
        <v>#REF!</v>
      </c>
      <c r="AK24" s="74" t="e">
        <f t="shared" ref="AK24:AK39" si="13">IF(AJ24&gt;0,"2.00",TINV(0.0455,AJ24))</f>
        <v>#REF!</v>
      </c>
      <c r="AL24" s="87" t="e">
        <f t="shared" ref="AL24:AL39" si="14">AH24*2</f>
        <v>#REF!</v>
      </c>
      <c r="AO24" s="72"/>
      <c r="AV24" s="51"/>
      <c r="AW24" s="51"/>
      <c r="AX24" s="51"/>
    </row>
    <row r="25" spans="1:50" s="66" customFormat="1" ht="18" hidden="1" customHeight="1">
      <c r="B25" s="75">
        <v>30</v>
      </c>
      <c r="C25" s="76">
        <v>0</v>
      </c>
      <c r="D25" s="77">
        <f t="shared" si="0"/>
        <v>0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>
        <f>'[4]Cert of STD'!J20</f>
        <v>1.4</v>
      </c>
      <c r="Q25" s="79">
        <f t="shared" si="1"/>
        <v>0.7</v>
      </c>
      <c r="R25" s="78">
        <f>'[4]Cert of STD'!D14</f>
        <v>0.27</v>
      </c>
      <c r="S25" s="79">
        <f t="shared" si="2"/>
        <v>0.13500000000000001</v>
      </c>
      <c r="T25" s="80" t="e">
        <f>#REF!*2</f>
        <v>#REF!</v>
      </c>
      <c r="U25" s="81" t="e">
        <f t="shared" si="4"/>
        <v>#REF!</v>
      </c>
      <c r="V25" s="82">
        <f>(1/16)*[4]Data!E29</f>
        <v>0</v>
      </c>
      <c r="W25" s="81">
        <f t="shared" si="5"/>
        <v>0</v>
      </c>
      <c r="X25" s="76" t="e">
        <f t="shared" ref="X25:X29" si="15">X24</f>
        <v>#REF!</v>
      </c>
      <c r="Y25" s="81" t="e">
        <f t="shared" si="5"/>
        <v>#REF!</v>
      </c>
      <c r="Z25" s="81">
        <v>1</v>
      </c>
      <c r="AA25" s="83">
        <f t="shared" si="6"/>
        <v>0.57735026918962584</v>
      </c>
      <c r="AB25" s="77" t="e">
        <f t="shared" ref="AB25:AB29" si="16">AB24</f>
        <v>#REF!</v>
      </c>
      <c r="AC25" s="84" t="e">
        <f t="shared" si="7"/>
        <v>#REF!</v>
      </c>
      <c r="AD25" s="83" t="e">
        <f t="shared" ref="AD25:AD28" si="17">AD24</f>
        <v>#REF!</v>
      </c>
      <c r="AE25" s="83" t="e">
        <f t="shared" si="8"/>
        <v>#REF!</v>
      </c>
      <c r="AF25" s="85">
        <f>((0.75)*(11.5*10^-6)*1)</f>
        <v>8.6249999999999996E-6</v>
      </c>
      <c r="AG25" s="77">
        <f t="shared" si="9"/>
        <v>4.9796460717605226E-6</v>
      </c>
      <c r="AH25" s="77" t="e">
        <f t="shared" si="10"/>
        <v>#REF!</v>
      </c>
      <c r="AI25" s="86">
        <f t="shared" si="11"/>
        <v>0</v>
      </c>
      <c r="AJ25" s="71" t="e">
        <f t="shared" si="12"/>
        <v>#REF!</v>
      </c>
      <c r="AK25" s="74" t="e">
        <f t="shared" si="13"/>
        <v>#REF!</v>
      </c>
      <c r="AL25" s="87" t="e">
        <f t="shared" si="14"/>
        <v>#REF!</v>
      </c>
      <c r="AO25" s="72"/>
      <c r="AV25" s="51"/>
      <c r="AW25" s="51"/>
      <c r="AX25" s="51"/>
    </row>
    <row r="26" spans="1:50" s="66" customFormat="1" ht="18" hidden="1" customHeight="1">
      <c r="B26" s="75">
        <v>75</v>
      </c>
      <c r="C26" s="76">
        <v>0</v>
      </c>
      <c r="D26" s="77">
        <f t="shared" si="0"/>
        <v>0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>
        <f>'[4]Cert of STD'!J21</f>
        <v>2.8</v>
      </c>
      <c r="Q26" s="79">
        <f t="shared" si="1"/>
        <v>1.4</v>
      </c>
      <c r="R26" s="78">
        <f>'[4]Cert of STD'!D19</f>
        <v>0.39</v>
      </c>
      <c r="S26" s="79">
        <f t="shared" si="2"/>
        <v>0.19500000000000001</v>
      </c>
      <c r="T26" s="80" t="e">
        <f>#REF!*2</f>
        <v>#REF!</v>
      </c>
      <c r="U26" s="81" t="e">
        <f t="shared" si="4"/>
        <v>#REF!</v>
      </c>
      <c r="V26" s="82">
        <f>(1/16)*[4]Data!E30</f>
        <v>0</v>
      </c>
      <c r="W26" s="81">
        <f t="shared" si="5"/>
        <v>0</v>
      </c>
      <c r="X26" s="76" t="e">
        <f t="shared" si="15"/>
        <v>#REF!</v>
      </c>
      <c r="Y26" s="81" t="e">
        <f t="shared" si="5"/>
        <v>#REF!</v>
      </c>
      <c r="Z26" s="81">
        <v>1</v>
      </c>
      <c r="AA26" s="83">
        <f t="shared" si="6"/>
        <v>0.57735026918962584</v>
      </c>
      <c r="AB26" s="77" t="e">
        <f t="shared" si="16"/>
        <v>#REF!</v>
      </c>
      <c r="AC26" s="84" t="e">
        <f t="shared" si="7"/>
        <v>#REF!</v>
      </c>
      <c r="AD26" s="83" t="e">
        <f t="shared" si="17"/>
        <v>#REF!</v>
      </c>
      <c r="AE26" s="83" t="e">
        <f t="shared" si="8"/>
        <v>#REF!</v>
      </c>
      <c r="AF26" s="85">
        <f>((0.8)*(11.5*10^-6)*1)</f>
        <v>9.2E-6</v>
      </c>
      <c r="AG26" s="77">
        <f t="shared" si="9"/>
        <v>5.3116224765445574E-6</v>
      </c>
      <c r="AH26" s="77" t="e">
        <f t="shared" si="10"/>
        <v>#REF!</v>
      </c>
      <c r="AI26" s="86">
        <f t="shared" si="11"/>
        <v>0</v>
      </c>
      <c r="AJ26" s="71" t="e">
        <f t="shared" si="12"/>
        <v>#REF!</v>
      </c>
      <c r="AK26" s="74" t="e">
        <f t="shared" si="13"/>
        <v>#REF!</v>
      </c>
      <c r="AL26" s="87" t="e">
        <f t="shared" si="14"/>
        <v>#REF!</v>
      </c>
      <c r="AO26" s="72"/>
      <c r="AV26" s="51"/>
      <c r="AW26" s="51"/>
      <c r="AX26" s="51"/>
    </row>
    <row r="27" spans="1:50" s="66" customFormat="1" ht="18" hidden="1" customHeight="1">
      <c r="B27" s="75">
        <v>90</v>
      </c>
      <c r="C27" s="76">
        <v>0</v>
      </c>
      <c r="D27" s="77">
        <f t="shared" si="0"/>
        <v>0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8">
        <f t="shared" ref="P27:P29" si="18">P26</f>
        <v>2.8</v>
      </c>
      <c r="Q27" s="79">
        <f t="shared" si="1"/>
        <v>1.4</v>
      </c>
      <c r="R27" s="78">
        <f>'[4]Cert of STD'!D20</f>
        <v>0.39</v>
      </c>
      <c r="S27" s="79">
        <f t="shared" si="2"/>
        <v>0.19500000000000001</v>
      </c>
      <c r="T27" s="80" t="e">
        <f>#REF!*2</f>
        <v>#REF!</v>
      </c>
      <c r="U27" s="81" t="e">
        <f t="shared" si="4"/>
        <v>#REF!</v>
      </c>
      <c r="V27" s="82">
        <f>(1/16)*[4]Data!E31</f>
        <v>0</v>
      </c>
      <c r="W27" s="81">
        <f t="shared" si="5"/>
        <v>0</v>
      </c>
      <c r="X27" s="76" t="e">
        <f t="shared" si="15"/>
        <v>#REF!</v>
      </c>
      <c r="Y27" s="81" t="e">
        <f t="shared" si="5"/>
        <v>#REF!</v>
      </c>
      <c r="Z27" s="81">
        <v>1</v>
      </c>
      <c r="AA27" s="83">
        <f t="shared" si="6"/>
        <v>0.57735026918962584</v>
      </c>
      <c r="AB27" s="77" t="e">
        <f t="shared" si="16"/>
        <v>#REF!</v>
      </c>
      <c r="AC27" s="84" t="e">
        <f t="shared" si="7"/>
        <v>#REF!</v>
      </c>
      <c r="AD27" s="83" t="e">
        <f t="shared" si="17"/>
        <v>#REF!</v>
      </c>
      <c r="AE27" s="83" t="e">
        <f t="shared" si="8"/>
        <v>#REF!</v>
      </c>
      <c r="AF27" s="85">
        <f>((1)*(11.5*10^-6)*1)</f>
        <v>1.15E-5</v>
      </c>
      <c r="AG27" s="77">
        <f t="shared" si="9"/>
        <v>6.6395280956806965E-6</v>
      </c>
      <c r="AH27" s="77" t="e">
        <f t="shared" si="10"/>
        <v>#REF!</v>
      </c>
      <c r="AI27" s="86">
        <f t="shared" si="11"/>
        <v>0</v>
      </c>
      <c r="AJ27" s="71" t="e">
        <f t="shared" si="12"/>
        <v>#REF!</v>
      </c>
      <c r="AK27" s="74" t="e">
        <f t="shared" si="13"/>
        <v>#REF!</v>
      </c>
      <c r="AL27" s="87" t="e">
        <f t="shared" si="14"/>
        <v>#REF!</v>
      </c>
      <c r="AV27" s="51"/>
      <c r="AW27" s="51"/>
      <c r="AX27" s="51"/>
    </row>
    <row r="28" spans="1:50" s="66" customFormat="1" ht="18" hidden="1" customHeight="1">
      <c r="B28" s="75">
        <v>100</v>
      </c>
      <c r="C28" s="76">
        <v>0</v>
      </c>
      <c r="D28" s="77">
        <f t="shared" si="0"/>
        <v>0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8">
        <f t="shared" si="18"/>
        <v>2.8</v>
      </c>
      <c r="Q28" s="79">
        <f t="shared" si="1"/>
        <v>1.4</v>
      </c>
      <c r="R28" s="78">
        <f>'[4]Cert of STD'!D21</f>
        <v>0.39</v>
      </c>
      <c r="S28" s="79">
        <f t="shared" si="2"/>
        <v>0.19500000000000001</v>
      </c>
      <c r="T28" s="80" t="e">
        <f>#REF!*2</f>
        <v>#REF!</v>
      </c>
      <c r="U28" s="81" t="e">
        <f t="shared" si="4"/>
        <v>#REF!</v>
      </c>
      <c r="V28" s="82">
        <f>(1/16)*[4]Data!E32</f>
        <v>0</v>
      </c>
      <c r="W28" s="81">
        <f t="shared" si="5"/>
        <v>0</v>
      </c>
      <c r="X28" s="76" t="e">
        <f t="shared" si="15"/>
        <v>#REF!</v>
      </c>
      <c r="Y28" s="81" t="e">
        <f t="shared" si="5"/>
        <v>#REF!</v>
      </c>
      <c r="Z28" s="81">
        <v>1</v>
      </c>
      <c r="AA28" s="83">
        <f t="shared" si="6"/>
        <v>0.57735026918962584</v>
      </c>
      <c r="AB28" s="77" t="e">
        <f t="shared" si="16"/>
        <v>#REF!</v>
      </c>
      <c r="AC28" s="84" t="e">
        <f t="shared" si="7"/>
        <v>#REF!</v>
      </c>
      <c r="AD28" s="83" t="e">
        <f t="shared" si="17"/>
        <v>#REF!</v>
      </c>
      <c r="AE28" s="83" t="e">
        <f t="shared" si="8"/>
        <v>#REF!</v>
      </c>
      <c r="AF28" s="85">
        <f>((1.25)*(11.5*10^-6)*1)</f>
        <v>1.4375E-5</v>
      </c>
      <c r="AG28" s="77">
        <f t="shared" si="9"/>
        <v>8.2994101196008704E-6</v>
      </c>
      <c r="AH28" s="77" t="e">
        <f t="shared" si="10"/>
        <v>#REF!</v>
      </c>
      <c r="AI28" s="86">
        <f t="shared" si="11"/>
        <v>0</v>
      </c>
      <c r="AJ28" s="71" t="e">
        <f t="shared" si="12"/>
        <v>#REF!</v>
      </c>
      <c r="AK28" s="74" t="e">
        <f t="shared" si="13"/>
        <v>#REF!</v>
      </c>
      <c r="AL28" s="87" t="e">
        <f t="shared" si="14"/>
        <v>#REF!</v>
      </c>
      <c r="AV28" s="51"/>
      <c r="AW28" s="51"/>
      <c r="AX28" s="51"/>
    </row>
    <row r="29" spans="1:50" s="66" customFormat="1" ht="18" hidden="1" customHeight="1">
      <c r="A29" s="51"/>
      <c r="B29" s="75">
        <v>125</v>
      </c>
      <c r="C29" s="76">
        <v>0</v>
      </c>
      <c r="D29" s="77">
        <f t="shared" si="0"/>
        <v>0</v>
      </c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8">
        <f t="shared" si="18"/>
        <v>2.8</v>
      </c>
      <c r="Q29" s="79">
        <f t="shared" si="1"/>
        <v>1.4</v>
      </c>
      <c r="R29" s="78">
        <f>'[4]Cert of STD'!D21</f>
        <v>0.39</v>
      </c>
      <c r="S29" s="79">
        <f t="shared" si="2"/>
        <v>0.19500000000000001</v>
      </c>
      <c r="T29" s="80" t="e">
        <f>#REF!*2</f>
        <v>#REF!</v>
      </c>
      <c r="U29" s="81" t="e">
        <f t="shared" si="4"/>
        <v>#REF!</v>
      </c>
      <c r="V29" s="82">
        <f>(1/16)*[4]Data!E33</f>
        <v>0</v>
      </c>
      <c r="W29" s="81">
        <f t="shared" si="5"/>
        <v>0</v>
      </c>
      <c r="X29" s="76" t="e">
        <f t="shared" si="15"/>
        <v>#REF!</v>
      </c>
      <c r="Y29" s="81" t="e">
        <f t="shared" si="5"/>
        <v>#REF!</v>
      </c>
      <c r="Z29" s="81">
        <v>1</v>
      </c>
      <c r="AA29" s="83">
        <f t="shared" si="6"/>
        <v>0.57735026918962584</v>
      </c>
      <c r="AB29" s="77" t="e">
        <f t="shared" si="16"/>
        <v>#REF!</v>
      </c>
      <c r="AC29" s="84" t="e">
        <f t="shared" si="7"/>
        <v>#REF!</v>
      </c>
      <c r="AD29" s="83" t="e">
        <f>AD28</f>
        <v>#REF!</v>
      </c>
      <c r="AE29" s="83" t="e">
        <f t="shared" si="8"/>
        <v>#REF!</v>
      </c>
      <c r="AF29" s="85">
        <f>(([4]Data!L31)*(11.5*10^-6)*1)</f>
        <v>1.15011845E-4</v>
      </c>
      <c r="AG29" s="77">
        <f t="shared" si="9"/>
        <v>6.6402119670745514E-5</v>
      </c>
      <c r="AH29" s="77" t="e">
        <f t="shared" si="10"/>
        <v>#REF!</v>
      </c>
      <c r="AI29" s="86">
        <f t="shared" si="11"/>
        <v>0</v>
      </c>
      <c r="AJ29" s="71" t="e">
        <f t="shared" si="12"/>
        <v>#REF!</v>
      </c>
      <c r="AK29" s="74" t="e">
        <f t="shared" si="13"/>
        <v>#REF!</v>
      </c>
      <c r="AL29" s="87" t="e">
        <f t="shared" si="14"/>
        <v>#REF!</v>
      </c>
      <c r="AV29" s="51"/>
      <c r="AW29" s="51"/>
      <c r="AX29" s="51"/>
    </row>
    <row r="30" spans="1:50" s="66" customFormat="1" ht="18" hidden="1" customHeight="1">
      <c r="A30" s="51"/>
      <c r="B30" s="75">
        <v>150</v>
      </c>
      <c r="C30" s="76">
        <v>0</v>
      </c>
      <c r="D30" s="77">
        <f t="shared" si="0"/>
        <v>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>
        <f>P29</f>
        <v>2.8</v>
      </c>
      <c r="Q30" s="79">
        <f t="shared" si="1"/>
        <v>1.4</v>
      </c>
      <c r="R30" s="78">
        <f>'[4]Cert of STD'!D21</f>
        <v>0.39</v>
      </c>
      <c r="S30" s="79">
        <f t="shared" si="2"/>
        <v>0.19500000000000001</v>
      </c>
      <c r="T30" s="80" t="e">
        <f>#REF!*2</f>
        <v>#REF!</v>
      </c>
      <c r="U30" s="81" t="e">
        <f t="shared" si="4"/>
        <v>#REF!</v>
      </c>
      <c r="V30" s="82">
        <f>(1/16)*[4]Data!E34</f>
        <v>0</v>
      </c>
      <c r="W30" s="81">
        <f t="shared" si="5"/>
        <v>0</v>
      </c>
      <c r="X30" s="76" t="e">
        <f>X29</f>
        <v>#REF!</v>
      </c>
      <c r="Y30" s="81" t="e">
        <f t="shared" si="5"/>
        <v>#REF!</v>
      </c>
      <c r="Z30" s="81">
        <v>1</v>
      </c>
      <c r="AA30" s="83">
        <f t="shared" si="6"/>
        <v>0.57735026918962584</v>
      </c>
      <c r="AB30" s="77" t="e">
        <f>AB29</f>
        <v>#REF!</v>
      </c>
      <c r="AC30" s="84" t="e">
        <f t="shared" si="7"/>
        <v>#REF!</v>
      </c>
      <c r="AD30" s="83" t="e">
        <f>AD29</f>
        <v>#REF!</v>
      </c>
      <c r="AE30" s="83" t="e">
        <f t="shared" si="8"/>
        <v>#REF!</v>
      </c>
      <c r="AF30" s="85">
        <f>(([4]Data!L32)*(11.5*10^-6)*1)</f>
        <v>0</v>
      </c>
      <c r="AG30" s="77">
        <f t="shared" si="9"/>
        <v>0</v>
      </c>
      <c r="AH30" s="77" t="e">
        <f t="shared" si="10"/>
        <v>#REF!</v>
      </c>
      <c r="AI30" s="86">
        <f t="shared" si="11"/>
        <v>0</v>
      </c>
      <c r="AJ30" s="71" t="e">
        <f t="shared" si="12"/>
        <v>#REF!</v>
      </c>
      <c r="AK30" s="74" t="e">
        <f t="shared" si="13"/>
        <v>#REF!</v>
      </c>
      <c r="AL30" s="87" t="e">
        <f t="shared" si="14"/>
        <v>#REF!</v>
      </c>
      <c r="AV30" s="51"/>
      <c r="AW30" s="51"/>
      <c r="AX30" s="51"/>
    </row>
    <row r="31" spans="1:50" s="66" customFormat="1" ht="18" hidden="1" customHeight="1">
      <c r="A31" s="51"/>
      <c r="B31" s="75">
        <v>150</v>
      </c>
      <c r="C31" s="76">
        <v>0</v>
      </c>
      <c r="D31" s="77">
        <f t="shared" si="0"/>
        <v>0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>
        <f t="shared" ref="P31:P35" si="19">P30</f>
        <v>2.8</v>
      </c>
      <c r="Q31" s="79">
        <f t="shared" si="1"/>
        <v>1.4</v>
      </c>
      <c r="R31" s="78">
        <f>'[4]Cert of STD'!D22</f>
        <v>0</v>
      </c>
      <c r="S31" s="79">
        <f t="shared" si="2"/>
        <v>0</v>
      </c>
      <c r="T31" s="80" t="e">
        <f>#REF!*2</f>
        <v>#REF!</v>
      </c>
      <c r="U31" s="81" t="e">
        <f t="shared" si="4"/>
        <v>#REF!</v>
      </c>
      <c r="V31" s="82">
        <f>(1/16)*[4]Data!E35</f>
        <v>0</v>
      </c>
      <c r="W31" s="81">
        <f t="shared" si="5"/>
        <v>0</v>
      </c>
      <c r="X31" s="76" t="e">
        <f t="shared" ref="X31:X35" si="20">X30</f>
        <v>#REF!</v>
      </c>
      <c r="Y31" s="81" t="e">
        <f t="shared" si="5"/>
        <v>#REF!</v>
      </c>
      <c r="Z31" s="81">
        <v>1</v>
      </c>
      <c r="AA31" s="83">
        <f t="shared" si="6"/>
        <v>0.57735026918962584</v>
      </c>
      <c r="AB31" s="77" t="e">
        <f t="shared" ref="AB31:AB35" si="21">AB30</f>
        <v>#REF!</v>
      </c>
      <c r="AC31" s="84" t="e">
        <f t="shared" si="7"/>
        <v>#REF!</v>
      </c>
      <c r="AD31" s="83" t="e">
        <f t="shared" ref="AD31:AD35" si="22">AD30</f>
        <v>#REF!</v>
      </c>
      <c r="AE31" s="83" t="e">
        <f t="shared" si="8"/>
        <v>#REF!</v>
      </c>
      <c r="AF31" s="85">
        <f>(([4]Data!L33)*(11.5*10^-6)*1)</f>
        <v>2.8750000000000001E-5</v>
      </c>
      <c r="AG31" s="77">
        <f t="shared" si="9"/>
        <v>1.6598820239201741E-5</v>
      </c>
      <c r="AH31" s="77" t="e">
        <f t="shared" si="10"/>
        <v>#REF!</v>
      </c>
      <c r="AI31" s="86">
        <f t="shared" si="11"/>
        <v>0</v>
      </c>
      <c r="AJ31" s="71" t="e">
        <f t="shared" si="12"/>
        <v>#REF!</v>
      </c>
      <c r="AK31" s="74" t="e">
        <f t="shared" si="13"/>
        <v>#REF!</v>
      </c>
      <c r="AL31" s="87" t="e">
        <f t="shared" si="14"/>
        <v>#REF!</v>
      </c>
      <c r="AM31" s="88"/>
      <c r="AN31" s="89"/>
      <c r="AV31" s="51"/>
      <c r="AW31" s="51"/>
      <c r="AX31" s="51"/>
    </row>
    <row r="32" spans="1:50" s="66" customFormat="1" ht="18" hidden="1" customHeight="1">
      <c r="A32" s="51"/>
      <c r="B32" s="75">
        <v>150</v>
      </c>
      <c r="C32" s="76">
        <v>0</v>
      </c>
      <c r="D32" s="77">
        <f t="shared" si="0"/>
        <v>0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8">
        <f t="shared" si="19"/>
        <v>2.8</v>
      </c>
      <c r="Q32" s="79">
        <f t="shared" si="1"/>
        <v>1.4</v>
      </c>
      <c r="R32" s="78">
        <f>'[4]Cert of STD'!D23</f>
        <v>0</v>
      </c>
      <c r="S32" s="79">
        <f t="shared" si="2"/>
        <v>0</v>
      </c>
      <c r="T32" s="80" t="e">
        <f>#REF!*2</f>
        <v>#REF!</v>
      </c>
      <c r="U32" s="81" t="e">
        <f t="shared" si="4"/>
        <v>#REF!</v>
      </c>
      <c r="V32" s="82">
        <f>(1/16)*[4]Data!E36</f>
        <v>0</v>
      </c>
      <c r="W32" s="81">
        <f t="shared" si="5"/>
        <v>0</v>
      </c>
      <c r="X32" s="76" t="e">
        <f t="shared" si="20"/>
        <v>#REF!</v>
      </c>
      <c r="Y32" s="81" t="e">
        <f t="shared" si="5"/>
        <v>#REF!</v>
      </c>
      <c r="Z32" s="81">
        <v>1</v>
      </c>
      <c r="AA32" s="83">
        <f t="shared" si="6"/>
        <v>0.57735026918962584</v>
      </c>
      <c r="AB32" s="77" t="e">
        <f t="shared" si="21"/>
        <v>#REF!</v>
      </c>
      <c r="AC32" s="84" t="e">
        <f t="shared" si="7"/>
        <v>#REF!</v>
      </c>
      <c r="AD32" s="83" t="e">
        <f t="shared" si="22"/>
        <v>#REF!</v>
      </c>
      <c r="AE32" s="83" t="e">
        <f t="shared" si="8"/>
        <v>#REF!</v>
      </c>
      <c r="AF32" s="85">
        <f>(([4]Data!L34)*(11.5*10^-6)*1)</f>
        <v>0</v>
      </c>
      <c r="AG32" s="77">
        <f t="shared" si="9"/>
        <v>0</v>
      </c>
      <c r="AH32" s="77" t="e">
        <f t="shared" si="10"/>
        <v>#REF!</v>
      </c>
      <c r="AI32" s="86">
        <f t="shared" si="11"/>
        <v>0</v>
      </c>
      <c r="AJ32" s="71" t="e">
        <f t="shared" si="12"/>
        <v>#REF!</v>
      </c>
      <c r="AK32" s="74" t="e">
        <f t="shared" si="13"/>
        <v>#REF!</v>
      </c>
      <c r="AL32" s="87" t="e">
        <f t="shared" si="14"/>
        <v>#REF!</v>
      </c>
      <c r="AM32" s="7"/>
      <c r="AN32" s="7"/>
      <c r="AV32" s="51"/>
      <c r="AW32" s="51"/>
      <c r="AX32" s="51"/>
    </row>
    <row r="33" spans="2:40" s="13" customFormat="1" ht="18" hidden="1" customHeight="1">
      <c r="B33" s="75">
        <v>150</v>
      </c>
      <c r="C33" s="76">
        <v>0</v>
      </c>
      <c r="D33" s="77">
        <f t="shared" si="0"/>
        <v>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8">
        <f t="shared" si="19"/>
        <v>2.8</v>
      </c>
      <c r="Q33" s="79">
        <f t="shared" si="1"/>
        <v>1.4</v>
      </c>
      <c r="R33" s="78">
        <f>'[4]Cert of STD'!D24</f>
        <v>0</v>
      </c>
      <c r="S33" s="79">
        <f t="shared" si="2"/>
        <v>0</v>
      </c>
      <c r="T33" s="80" t="e">
        <f>#REF!*2</f>
        <v>#REF!</v>
      </c>
      <c r="U33" s="81" t="e">
        <f t="shared" si="4"/>
        <v>#REF!</v>
      </c>
      <c r="V33" s="82">
        <f>(1/16)*[4]Data!E37</f>
        <v>0</v>
      </c>
      <c r="W33" s="81">
        <f t="shared" si="5"/>
        <v>0</v>
      </c>
      <c r="X33" s="76" t="e">
        <f t="shared" si="20"/>
        <v>#REF!</v>
      </c>
      <c r="Y33" s="81" t="e">
        <f t="shared" si="5"/>
        <v>#REF!</v>
      </c>
      <c r="Z33" s="81">
        <v>1</v>
      </c>
      <c r="AA33" s="83">
        <f t="shared" si="6"/>
        <v>0.57735026918962584</v>
      </c>
      <c r="AB33" s="77" t="e">
        <f t="shared" si="21"/>
        <v>#REF!</v>
      </c>
      <c r="AC33" s="84" t="e">
        <f t="shared" si="7"/>
        <v>#REF!</v>
      </c>
      <c r="AD33" s="83" t="e">
        <f t="shared" si="22"/>
        <v>#REF!</v>
      </c>
      <c r="AE33" s="83" t="e">
        <f t="shared" si="8"/>
        <v>#REF!</v>
      </c>
      <c r="AF33" s="85">
        <f>(([4]Data!L35)*(11.5*10^-6)*1)</f>
        <v>0</v>
      </c>
      <c r="AG33" s="77">
        <f t="shared" si="9"/>
        <v>0</v>
      </c>
      <c r="AH33" s="77" t="e">
        <f t="shared" si="10"/>
        <v>#REF!</v>
      </c>
      <c r="AI33" s="86">
        <f t="shared" si="11"/>
        <v>0</v>
      </c>
      <c r="AJ33" s="71" t="e">
        <f t="shared" si="12"/>
        <v>#REF!</v>
      </c>
      <c r="AK33" s="74" t="e">
        <f t="shared" si="13"/>
        <v>#REF!</v>
      </c>
      <c r="AL33" s="87" t="e">
        <f t="shared" si="14"/>
        <v>#REF!</v>
      </c>
      <c r="AM33" s="7"/>
      <c r="AN33" s="7"/>
    </row>
    <row r="34" spans="2:40" s="13" customFormat="1" ht="18" hidden="1" customHeight="1">
      <c r="B34" s="75">
        <v>150</v>
      </c>
      <c r="C34" s="76">
        <v>0</v>
      </c>
      <c r="D34" s="77">
        <f t="shared" si="0"/>
        <v>0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8">
        <f t="shared" si="19"/>
        <v>2.8</v>
      </c>
      <c r="Q34" s="79">
        <f t="shared" si="1"/>
        <v>1.4</v>
      </c>
      <c r="R34" s="78">
        <f>'[4]Cert of STD'!D25</f>
        <v>0</v>
      </c>
      <c r="S34" s="79">
        <f t="shared" si="2"/>
        <v>0</v>
      </c>
      <c r="T34" s="80" t="e">
        <f>#REF!*2</f>
        <v>#REF!</v>
      </c>
      <c r="U34" s="81" t="e">
        <f t="shared" si="4"/>
        <v>#REF!</v>
      </c>
      <c r="V34" s="82">
        <f>(1/16)*[4]Data!E38</f>
        <v>0</v>
      </c>
      <c r="W34" s="81">
        <f t="shared" si="5"/>
        <v>0</v>
      </c>
      <c r="X34" s="76" t="e">
        <f t="shared" si="20"/>
        <v>#REF!</v>
      </c>
      <c r="Y34" s="81" t="e">
        <f t="shared" si="5"/>
        <v>#REF!</v>
      </c>
      <c r="Z34" s="81">
        <v>1</v>
      </c>
      <c r="AA34" s="83">
        <f t="shared" si="6"/>
        <v>0.57735026918962584</v>
      </c>
      <c r="AB34" s="77" t="e">
        <f t="shared" si="21"/>
        <v>#REF!</v>
      </c>
      <c r="AC34" s="84" t="e">
        <f t="shared" si="7"/>
        <v>#REF!</v>
      </c>
      <c r="AD34" s="83" t="e">
        <f t="shared" si="22"/>
        <v>#REF!</v>
      </c>
      <c r="AE34" s="83" t="e">
        <f t="shared" si="8"/>
        <v>#REF!</v>
      </c>
      <c r="AF34" s="85">
        <f>(([4]Data!L36)*(11.5*10^-6)*1)</f>
        <v>0</v>
      </c>
      <c r="AG34" s="77">
        <f t="shared" si="9"/>
        <v>0</v>
      </c>
      <c r="AH34" s="77" t="e">
        <f t="shared" si="10"/>
        <v>#REF!</v>
      </c>
      <c r="AI34" s="86">
        <f t="shared" si="11"/>
        <v>0</v>
      </c>
      <c r="AJ34" s="71" t="e">
        <f t="shared" si="12"/>
        <v>#REF!</v>
      </c>
      <c r="AK34" s="74" t="e">
        <f t="shared" si="13"/>
        <v>#REF!</v>
      </c>
      <c r="AL34" s="87" t="e">
        <f t="shared" si="14"/>
        <v>#REF!</v>
      </c>
      <c r="AM34" s="7"/>
      <c r="AN34" s="7"/>
    </row>
    <row r="35" spans="2:40" s="13" customFormat="1" ht="18" hidden="1" customHeight="1">
      <c r="B35" s="75">
        <v>150</v>
      </c>
      <c r="C35" s="76">
        <v>0</v>
      </c>
      <c r="D35" s="77">
        <f t="shared" si="0"/>
        <v>0</v>
      </c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8">
        <f t="shared" si="19"/>
        <v>2.8</v>
      </c>
      <c r="Q35" s="79">
        <f t="shared" si="1"/>
        <v>1.4</v>
      </c>
      <c r="R35" s="78">
        <f>'[4]Cert of STD'!D26</f>
        <v>0</v>
      </c>
      <c r="S35" s="79">
        <f t="shared" si="2"/>
        <v>0</v>
      </c>
      <c r="T35" s="80" t="e">
        <f>#REF!*2</f>
        <v>#REF!</v>
      </c>
      <c r="U35" s="81" t="e">
        <f t="shared" si="4"/>
        <v>#REF!</v>
      </c>
      <c r="V35" s="82">
        <f>(1/16)*[4]Data!E39</f>
        <v>0</v>
      </c>
      <c r="W35" s="81">
        <f t="shared" si="5"/>
        <v>0</v>
      </c>
      <c r="X35" s="76" t="e">
        <f t="shared" si="20"/>
        <v>#REF!</v>
      </c>
      <c r="Y35" s="81" t="e">
        <f t="shared" si="5"/>
        <v>#REF!</v>
      </c>
      <c r="Z35" s="81">
        <v>1</v>
      </c>
      <c r="AA35" s="83">
        <f t="shared" si="6"/>
        <v>0.57735026918962584</v>
      </c>
      <c r="AB35" s="77" t="e">
        <f t="shared" si="21"/>
        <v>#REF!</v>
      </c>
      <c r="AC35" s="84" t="e">
        <f t="shared" si="7"/>
        <v>#REF!</v>
      </c>
      <c r="AD35" s="83" t="e">
        <f t="shared" si="22"/>
        <v>#REF!</v>
      </c>
      <c r="AE35" s="83" t="e">
        <f t="shared" si="8"/>
        <v>#REF!</v>
      </c>
      <c r="AF35" s="85">
        <f>(([4]Data!L37)*(11.5*10^-6)*1)</f>
        <v>0</v>
      </c>
      <c r="AG35" s="77">
        <f t="shared" si="9"/>
        <v>0</v>
      </c>
      <c r="AH35" s="77" t="e">
        <f t="shared" si="10"/>
        <v>#REF!</v>
      </c>
      <c r="AI35" s="86">
        <f t="shared" si="11"/>
        <v>0</v>
      </c>
      <c r="AJ35" s="71" t="e">
        <f t="shared" si="12"/>
        <v>#REF!</v>
      </c>
      <c r="AK35" s="74" t="e">
        <f t="shared" si="13"/>
        <v>#REF!</v>
      </c>
      <c r="AL35" s="87" t="e">
        <f t="shared" si="14"/>
        <v>#REF!</v>
      </c>
      <c r="AM35" s="7"/>
      <c r="AN35" s="7"/>
    </row>
    <row r="36" spans="2:40" s="13" customFormat="1" ht="18" hidden="1" customHeight="1">
      <c r="B36" s="75">
        <v>150</v>
      </c>
      <c r="C36" s="76">
        <v>0</v>
      </c>
      <c r="D36" s="77">
        <f t="shared" si="0"/>
        <v>0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8">
        <f>P35</f>
        <v>2.8</v>
      </c>
      <c r="Q36" s="79">
        <f t="shared" si="1"/>
        <v>1.4</v>
      </c>
      <c r="R36" s="78">
        <f>'[4]Cert of STD'!D27</f>
        <v>0</v>
      </c>
      <c r="S36" s="79">
        <f t="shared" si="2"/>
        <v>0</v>
      </c>
      <c r="T36" s="80" t="e">
        <f>#REF!*2</f>
        <v>#REF!</v>
      </c>
      <c r="U36" s="81" t="e">
        <f t="shared" si="4"/>
        <v>#REF!</v>
      </c>
      <c r="V36" s="82">
        <f>(1/16)*[4]Data!E40</f>
        <v>0</v>
      </c>
      <c r="W36" s="81">
        <f t="shared" si="5"/>
        <v>0</v>
      </c>
      <c r="X36" s="76" t="e">
        <f>X35</f>
        <v>#REF!</v>
      </c>
      <c r="Y36" s="81" t="e">
        <f t="shared" si="5"/>
        <v>#REF!</v>
      </c>
      <c r="Z36" s="81">
        <v>1</v>
      </c>
      <c r="AA36" s="83">
        <f t="shared" si="6"/>
        <v>0.57735026918962584</v>
      </c>
      <c r="AB36" s="77" t="e">
        <f>AB35</f>
        <v>#REF!</v>
      </c>
      <c r="AC36" s="84" t="e">
        <f t="shared" si="7"/>
        <v>#REF!</v>
      </c>
      <c r="AD36" s="83" t="e">
        <f>AD35</f>
        <v>#REF!</v>
      </c>
      <c r="AE36" s="83" t="e">
        <f t="shared" si="8"/>
        <v>#REF!</v>
      </c>
      <c r="AF36" s="85">
        <f>(([4]Data!L38)*(11.5*10^-6)*1)</f>
        <v>0</v>
      </c>
      <c r="AG36" s="77">
        <f t="shared" si="9"/>
        <v>0</v>
      </c>
      <c r="AH36" s="77" t="e">
        <f t="shared" si="10"/>
        <v>#REF!</v>
      </c>
      <c r="AI36" s="86">
        <f t="shared" si="11"/>
        <v>0</v>
      </c>
      <c r="AJ36" s="71" t="e">
        <f t="shared" si="12"/>
        <v>#REF!</v>
      </c>
      <c r="AK36" s="74" t="e">
        <f t="shared" si="13"/>
        <v>#REF!</v>
      </c>
      <c r="AL36" s="87" t="e">
        <f t="shared" si="14"/>
        <v>#REF!</v>
      </c>
      <c r="AM36" s="7"/>
      <c r="AN36" s="7"/>
    </row>
    <row r="37" spans="2:40" s="13" customFormat="1" ht="18" hidden="1" customHeight="1">
      <c r="B37" s="75">
        <v>150</v>
      </c>
      <c r="C37" s="76">
        <v>0</v>
      </c>
      <c r="D37" s="77">
        <f t="shared" si="0"/>
        <v>0</v>
      </c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8">
        <f t="shared" ref="P37" si="23">P36</f>
        <v>2.8</v>
      </c>
      <c r="Q37" s="79">
        <f t="shared" si="1"/>
        <v>1.4</v>
      </c>
      <c r="R37" s="78">
        <f>'[4]Cert of STD'!D28</f>
        <v>0</v>
      </c>
      <c r="S37" s="79">
        <f t="shared" si="2"/>
        <v>0</v>
      </c>
      <c r="T37" s="80" t="e">
        <f>#REF!*2</f>
        <v>#REF!</v>
      </c>
      <c r="U37" s="81" t="e">
        <f t="shared" si="4"/>
        <v>#REF!</v>
      </c>
      <c r="V37" s="82">
        <f>(1/16)*[4]Data!E41</f>
        <v>0</v>
      </c>
      <c r="W37" s="81">
        <f t="shared" si="5"/>
        <v>0</v>
      </c>
      <c r="X37" s="76" t="e">
        <f t="shared" ref="X37" si="24">X36</f>
        <v>#REF!</v>
      </c>
      <c r="Y37" s="81" t="e">
        <f t="shared" si="5"/>
        <v>#REF!</v>
      </c>
      <c r="Z37" s="81">
        <v>1</v>
      </c>
      <c r="AA37" s="83">
        <f t="shared" si="6"/>
        <v>0.57735026918962584</v>
      </c>
      <c r="AB37" s="77" t="e">
        <f t="shared" ref="AB37" si="25">AB36</f>
        <v>#REF!</v>
      </c>
      <c r="AC37" s="84" t="e">
        <f t="shared" si="7"/>
        <v>#REF!</v>
      </c>
      <c r="AD37" s="83" t="e">
        <f t="shared" ref="AD37" si="26">AD36</f>
        <v>#REF!</v>
      </c>
      <c r="AE37" s="83" t="e">
        <f t="shared" si="8"/>
        <v>#REF!</v>
      </c>
      <c r="AF37" s="85">
        <f>(([4]Data!L39)*(11.5*10^-6)*1)</f>
        <v>2.3E-5</v>
      </c>
      <c r="AG37" s="77">
        <f t="shared" si="9"/>
        <v>1.3279056191361393E-5</v>
      </c>
      <c r="AH37" s="77" t="e">
        <f t="shared" si="10"/>
        <v>#REF!</v>
      </c>
      <c r="AI37" s="86">
        <f t="shared" si="11"/>
        <v>0</v>
      </c>
      <c r="AJ37" s="71" t="e">
        <f t="shared" si="12"/>
        <v>#REF!</v>
      </c>
      <c r="AK37" s="74" t="e">
        <f t="shared" si="13"/>
        <v>#REF!</v>
      </c>
      <c r="AL37" s="87" t="e">
        <f t="shared" si="14"/>
        <v>#REF!</v>
      </c>
      <c r="AM37" s="7"/>
      <c r="AN37" s="7"/>
    </row>
    <row r="38" spans="2:40" s="13" customFormat="1" ht="18" hidden="1" customHeight="1">
      <c r="B38" s="75">
        <v>150</v>
      </c>
      <c r="C38" s="76">
        <v>0</v>
      </c>
      <c r="D38" s="77">
        <f t="shared" si="0"/>
        <v>0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8">
        <f>P37</f>
        <v>2.8</v>
      </c>
      <c r="Q38" s="79">
        <f t="shared" si="1"/>
        <v>1.4</v>
      </c>
      <c r="R38" s="78">
        <f>'[4]Cert of STD'!D29</f>
        <v>0</v>
      </c>
      <c r="S38" s="79">
        <f t="shared" si="2"/>
        <v>0</v>
      </c>
      <c r="T38" s="80" t="e">
        <f>#REF!*2</f>
        <v>#REF!</v>
      </c>
      <c r="U38" s="81" t="e">
        <f t="shared" si="4"/>
        <v>#REF!</v>
      </c>
      <c r="V38" s="82">
        <f>(1/16)*[4]Data!E42</f>
        <v>0</v>
      </c>
      <c r="W38" s="81">
        <f t="shared" si="5"/>
        <v>0</v>
      </c>
      <c r="X38" s="76" t="e">
        <f>X37</f>
        <v>#REF!</v>
      </c>
      <c r="Y38" s="81" t="e">
        <f t="shared" si="5"/>
        <v>#REF!</v>
      </c>
      <c r="Z38" s="81">
        <v>1</v>
      </c>
      <c r="AA38" s="83">
        <f t="shared" si="6"/>
        <v>0.57735026918962584</v>
      </c>
      <c r="AB38" s="77" t="e">
        <f>AB37</f>
        <v>#REF!</v>
      </c>
      <c r="AC38" s="84" t="e">
        <f t="shared" si="7"/>
        <v>#REF!</v>
      </c>
      <c r="AD38" s="83" t="e">
        <f>AD37</f>
        <v>#REF!</v>
      </c>
      <c r="AE38" s="83" t="e">
        <f t="shared" si="8"/>
        <v>#REF!</v>
      </c>
      <c r="AF38" s="85">
        <f>(([4]Data!L40)*(11.5*10^-6)*1)</f>
        <v>1.15011845E-4</v>
      </c>
      <c r="AG38" s="77">
        <f t="shared" si="9"/>
        <v>6.6402119670745514E-5</v>
      </c>
      <c r="AH38" s="77" t="e">
        <f t="shared" si="10"/>
        <v>#REF!</v>
      </c>
      <c r="AI38" s="86">
        <f t="shared" si="11"/>
        <v>0</v>
      </c>
      <c r="AJ38" s="71" t="e">
        <f t="shared" si="12"/>
        <v>#REF!</v>
      </c>
      <c r="AK38" s="74" t="e">
        <f t="shared" si="13"/>
        <v>#REF!</v>
      </c>
      <c r="AL38" s="87" t="e">
        <f t="shared" si="14"/>
        <v>#REF!</v>
      </c>
      <c r="AM38" s="7"/>
      <c r="AN38" s="7"/>
    </row>
    <row r="39" spans="2:40" s="13" customFormat="1" ht="18" hidden="1" customHeight="1">
      <c r="B39" s="75">
        <v>150</v>
      </c>
      <c r="C39" s="76">
        <v>0</v>
      </c>
      <c r="D39" s="77">
        <f t="shared" si="0"/>
        <v>0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8">
        <f t="shared" ref="P39" si="27">P38</f>
        <v>2.8</v>
      </c>
      <c r="Q39" s="79">
        <f t="shared" si="1"/>
        <v>1.4</v>
      </c>
      <c r="R39" s="78">
        <f>'[4]Cert of STD'!D30</f>
        <v>0</v>
      </c>
      <c r="S39" s="79">
        <f t="shared" si="2"/>
        <v>0</v>
      </c>
      <c r="T39" s="80" t="e">
        <f>#REF!*2</f>
        <v>#REF!</v>
      </c>
      <c r="U39" s="81" t="e">
        <f t="shared" si="4"/>
        <v>#REF!</v>
      </c>
      <c r="V39" s="82">
        <f>(1/16)*[4]Data!E43</f>
        <v>0</v>
      </c>
      <c r="W39" s="81">
        <f t="shared" si="5"/>
        <v>0</v>
      </c>
      <c r="X39" s="76" t="e">
        <f t="shared" ref="X39" si="28">X38</f>
        <v>#REF!</v>
      </c>
      <c r="Y39" s="81" t="e">
        <f t="shared" si="5"/>
        <v>#REF!</v>
      </c>
      <c r="Z39" s="81">
        <v>1</v>
      </c>
      <c r="AA39" s="83">
        <f t="shared" si="6"/>
        <v>0.57735026918962584</v>
      </c>
      <c r="AB39" s="77" t="e">
        <f t="shared" ref="AB39" si="29">AB38</f>
        <v>#REF!</v>
      </c>
      <c r="AC39" s="84" t="e">
        <f t="shared" si="7"/>
        <v>#REF!</v>
      </c>
      <c r="AD39" s="83" t="e">
        <f t="shared" ref="AD39" si="30">AD38</f>
        <v>#REF!</v>
      </c>
      <c r="AE39" s="83" t="e">
        <f t="shared" si="8"/>
        <v>#REF!</v>
      </c>
      <c r="AF39" s="85">
        <f>(([4]Data!L41)*(11.5*10^-6)*1)</f>
        <v>1.15011845E-4</v>
      </c>
      <c r="AG39" s="77">
        <f t="shared" si="9"/>
        <v>6.6402119670745514E-5</v>
      </c>
      <c r="AH39" s="77" t="e">
        <f t="shared" si="10"/>
        <v>#REF!</v>
      </c>
      <c r="AI39" s="86">
        <f t="shared" si="11"/>
        <v>0</v>
      </c>
      <c r="AJ39" s="71" t="e">
        <f t="shared" si="12"/>
        <v>#REF!</v>
      </c>
      <c r="AK39" s="74" t="e">
        <f t="shared" si="13"/>
        <v>#REF!</v>
      </c>
      <c r="AL39" s="87" t="e">
        <f t="shared" si="14"/>
        <v>#REF!</v>
      </c>
      <c r="AM39" s="7"/>
      <c r="AN39" s="7"/>
    </row>
    <row r="40" spans="2:40" s="13" customFormat="1" ht="18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2:40" s="13" customFormat="1" ht="18" customHeight="1">
      <c r="B41" s="7"/>
      <c r="C41" s="7"/>
      <c r="D41" s="7"/>
      <c r="E41" s="7"/>
      <c r="F41" s="7"/>
      <c r="G41" s="7"/>
      <c r="H41" s="7"/>
      <c r="Y41" s="7"/>
      <c r="Z41" s="7"/>
      <c r="AA41" s="7"/>
      <c r="AB41" s="7"/>
      <c r="AC41" s="7"/>
    </row>
    <row r="42" spans="2:40" s="13" customFormat="1" ht="18" customHeight="1">
      <c r="B42" s="7"/>
      <c r="C42" s="7"/>
      <c r="D42" s="7"/>
      <c r="E42" s="7"/>
      <c r="F42" s="7"/>
      <c r="G42" s="7"/>
      <c r="H42" s="7"/>
      <c r="Y42" s="7"/>
      <c r="Z42" s="7"/>
      <c r="AA42" s="7"/>
      <c r="AB42" s="7"/>
      <c r="AC42" s="7"/>
    </row>
    <row r="43" spans="2:40" s="13" customFormat="1" ht="18" customHeight="1">
      <c r="B43" s="7"/>
      <c r="C43" s="7"/>
      <c r="D43" s="7"/>
      <c r="E43" s="7"/>
      <c r="F43" s="7"/>
      <c r="G43" s="7"/>
      <c r="H43" s="7"/>
      <c r="Y43" s="7"/>
      <c r="Z43" s="7"/>
      <c r="AA43" s="7"/>
      <c r="AB43" s="7"/>
      <c r="AC43" s="7"/>
    </row>
    <row r="44" spans="2:40" s="13" customFormat="1" ht="18" customHeight="1">
      <c r="B44" s="7"/>
      <c r="C44" s="7"/>
      <c r="D44" s="7"/>
      <c r="E44" s="7"/>
      <c r="F44" s="7"/>
      <c r="G44" s="7"/>
      <c r="H44" s="7"/>
      <c r="Y44" s="7"/>
      <c r="Z44" s="7"/>
      <c r="AA44" s="7"/>
      <c r="AB44" s="7"/>
      <c r="AC44" s="7"/>
    </row>
    <row r="45" spans="2:40" s="13" customFormat="1" ht="18" customHeight="1">
      <c r="B45" s="7"/>
      <c r="C45" s="7"/>
      <c r="D45" s="7"/>
      <c r="E45" s="7"/>
      <c r="F45" s="7"/>
      <c r="G45" s="7"/>
      <c r="H45" s="7"/>
      <c r="Y45" s="7"/>
      <c r="Z45" s="7"/>
      <c r="AA45" s="7"/>
      <c r="AB45" s="7"/>
      <c r="AC45" s="7"/>
    </row>
    <row r="46" spans="2:40" s="13" customFormat="1" ht="18" customHeight="1">
      <c r="B46" s="7"/>
      <c r="C46" s="7"/>
      <c r="D46" s="7"/>
      <c r="E46" s="7"/>
      <c r="F46" s="7"/>
      <c r="G46" s="7"/>
      <c r="H46" s="7"/>
      <c r="Y46" s="7"/>
      <c r="Z46" s="7"/>
      <c r="AA46" s="7"/>
      <c r="AB46" s="7"/>
      <c r="AC46" s="7"/>
    </row>
    <row r="47" spans="2:40" s="13" customFormat="1" ht="18" customHeight="1">
      <c r="B47" s="7"/>
      <c r="C47" s="7"/>
      <c r="D47" s="7"/>
      <c r="E47" s="7"/>
      <c r="F47" s="7"/>
      <c r="G47" s="7"/>
      <c r="H47" s="7"/>
      <c r="Y47" s="7"/>
      <c r="Z47" s="7"/>
      <c r="AA47" s="7"/>
      <c r="AB47" s="7"/>
      <c r="AC47" s="7"/>
    </row>
    <row r="48" spans="2:40" s="13" customFormat="1" ht="18" customHeight="1">
      <c r="B48" s="7"/>
      <c r="C48" s="7"/>
      <c r="D48" s="7"/>
      <c r="E48" s="7"/>
      <c r="F48" s="7"/>
      <c r="G48" s="7"/>
      <c r="H48" s="7"/>
      <c r="Y48" s="7"/>
      <c r="Z48" s="7"/>
      <c r="AA48" s="7"/>
      <c r="AB48" s="7"/>
      <c r="AC48" s="7"/>
    </row>
    <row r="49" spans="2:40" s="13" customFormat="1" ht="18" customHeight="1">
      <c r="B49" s="7"/>
      <c r="C49" s="7"/>
      <c r="D49" s="7"/>
      <c r="E49" s="7"/>
      <c r="F49" s="7"/>
      <c r="G49" s="7"/>
      <c r="H49" s="7"/>
      <c r="Y49" s="7"/>
      <c r="Z49" s="7"/>
      <c r="AA49" s="7"/>
      <c r="AB49" s="7"/>
      <c r="AC49" s="7"/>
    </row>
    <row r="50" spans="2:40" s="13" customFormat="1" ht="18" customHeight="1">
      <c r="B50" s="7"/>
      <c r="C50" s="7"/>
      <c r="D50" s="7"/>
      <c r="E50" s="7"/>
      <c r="F50" s="7"/>
      <c r="G50" s="7"/>
      <c r="H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40" s="13" customFormat="1" ht="18" customHeight="1">
      <c r="B51" s="7"/>
      <c r="C51" s="7"/>
      <c r="D51" s="7"/>
      <c r="E51" s="7"/>
      <c r="F51" s="7"/>
      <c r="G51" s="7"/>
      <c r="H51" s="7"/>
      <c r="R51" s="90"/>
      <c r="S51" s="7"/>
      <c r="U51" s="7"/>
      <c r="W51" s="7"/>
      <c r="X51" s="7"/>
      <c r="Y51" s="7"/>
      <c r="Z51" s="7"/>
      <c r="AA51" s="7"/>
      <c r="AB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2:40" s="13" customFormat="1" ht="18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V52" s="91"/>
      <c r="W52" s="91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2:40" s="13" customFormat="1" ht="1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2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4"/>
      <c r="AI53" s="93"/>
      <c r="AJ53" s="93"/>
      <c r="AK53" s="93"/>
      <c r="AL53" s="95"/>
      <c r="AM53" s="96"/>
      <c r="AN53" s="93"/>
    </row>
    <row r="54" spans="2:40" s="13" customFormat="1" ht="1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2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4"/>
      <c r="AI54" s="93"/>
      <c r="AJ54" s="93"/>
      <c r="AK54" s="93"/>
      <c r="AL54" s="95"/>
      <c r="AM54" s="96"/>
      <c r="AN54" s="93"/>
    </row>
    <row r="55" spans="2:40" s="13" customFormat="1" ht="1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2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4"/>
      <c r="AI55" s="93"/>
      <c r="AJ55" s="93"/>
      <c r="AK55" s="93"/>
      <c r="AL55" s="95"/>
      <c r="AM55" s="96"/>
      <c r="AN55" s="93"/>
    </row>
    <row r="56" spans="2:40">
      <c r="V56" s="93"/>
    </row>
  </sheetData>
  <mergeCells count="76">
    <mergeCell ref="C22:E22"/>
    <mergeCell ref="F22:G22"/>
    <mergeCell ref="H22:I22"/>
    <mergeCell ref="J22:K22"/>
    <mergeCell ref="M22:N22"/>
    <mergeCell ref="C23:E23"/>
    <mergeCell ref="F23:G23"/>
    <mergeCell ref="H23:I23"/>
    <mergeCell ref="J23:K23"/>
    <mergeCell ref="M23:N23"/>
    <mergeCell ref="C20:E20"/>
    <mergeCell ref="F20:G20"/>
    <mergeCell ref="H20:I20"/>
    <mergeCell ref="J20:K20"/>
    <mergeCell ref="M20:N20"/>
    <mergeCell ref="C21:E21"/>
    <mergeCell ref="F21:G21"/>
    <mergeCell ref="H21:I21"/>
    <mergeCell ref="J21:K21"/>
    <mergeCell ref="M21:N21"/>
    <mergeCell ref="C18:E18"/>
    <mergeCell ref="F18:G18"/>
    <mergeCell ref="H18:I18"/>
    <mergeCell ref="J18:K18"/>
    <mergeCell ref="M18:N18"/>
    <mergeCell ref="C19:E19"/>
    <mergeCell ref="F19:G19"/>
    <mergeCell ref="H19:I19"/>
    <mergeCell ref="J19:K19"/>
    <mergeCell ref="M19:N19"/>
    <mergeCell ref="T16:V17"/>
    <mergeCell ref="C17:E17"/>
    <mergeCell ref="F17:G17"/>
    <mergeCell ref="H17:I17"/>
    <mergeCell ref="J17:K17"/>
    <mergeCell ref="M17:N17"/>
    <mergeCell ref="C16:E16"/>
    <mergeCell ref="F16:G16"/>
    <mergeCell ref="H16:I16"/>
    <mergeCell ref="J16:K16"/>
    <mergeCell ref="M16:N16"/>
    <mergeCell ref="S16:S17"/>
    <mergeCell ref="S14:S15"/>
    <mergeCell ref="T14:T15"/>
    <mergeCell ref="C15:E15"/>
    <mergeCell ref="F15:G15"/>
    <mergeCell ref="H15:I15"/>
    <mergeCell ref="J15:K15"/>
    <mergeCell ref="M15:N15"/>
    <mergeCell ref="C14:E14"/>
    <mergeCell ref="F14:G14"/>
    <mergeCell ref="H14:I14"/>
    <mergeCell ref="J14:K14"/>
    <mergeCell ref="M14:N14"/>
    <mergeCell ref="R14:R15"/>
    <mergeCell ref="J12:K13"/>
    <mergeCell ref="L12:L13"/>
    <mergeCell ref="M12:N12"/>
    <mergeCell ref="O12:O13"/>
    <mergeCell ref="F13:G13"/>
    <mergeCell ref="H13:I13"/>
    <mergeCell ref="M13:N13"/>
    <mergeCell ref="D6:E6"/>
    <mergeCell ref="D7:E7"/>
    <mergeCell ref="G8:H8"/>
    <mergeCell ref="G9:H9"/>
    <mergeCell ref="B12:B13"/>
    <mergeCell ref="C12:E13"/>
    <mergeCell ref="F12:G12"/>
    <mergeCell ref="H12:I12"/>
    <mergeCell ref="Q5:R5"/>
    <mergeCell ref="B2:O2"/>
    <mergeCell ref="B5:C5"/>
    <mergeCell ref="E5:F5"/>
    <mergeCell ref="I5:J5"/>
    <mergeCell ref="K5:L5"/>
  </mergeCells>
  <pageMargins left="0.31496062992125984" right="0.31496062992125984" top="0.74803149606299213" bottom="0.74803149606299213" header="0.31496062992125984" footer="0.31496062992125984"/>
  <pageSetup paperSize="9" scale="85" orientation="landscape" r:id="rId1"/>
  <colBreaks count="1" manualBreakCount="1">
    <brk id="38" max="1048575" man="1"/>
  </colBreaks>
  <drawing r:id="rId2"/>
  <legacyDrawing r:id="rId3"/>
  <oleObjects>
    <mc:AlternateContent xmlns:mc="http://schemas.openxmlformats.org/markup-compatibility/2006">
      <mc:Choice Requires="x14">
        <oleObject progId="Equation.3" shapeId="9217" r:id="rId4">
          <objectPr defaultSize="0" autoPict="0" r:id="rId5">
            <anchor moveWithCells="1">
              <from>
                <xdr:col>14</xdr:col>
                <xdr:colOff>171450</xdr:colOff>
                <xdr:row>14</xdr:row>
                <xdr:rowOff>28575</xdr:rowOff>
              </from>
              <to>
                <xdr:col>14</xdr:col>
                <xdr:colOff>428625</xdr:colOff>
                <xdr:row>14</xdr:row>
                <xdr:rowOff>200025</xdr:rowOff>
              </to>
            </anchor>
          </objectPr>
        </oleObject>
      </mc:Choice>
      <mc:Fallback>
        <oleObject progId="Equation.3" shapeId="9217" r:id="rId4"/>
      </mc:Fallback>
    </mc:AlternateContent>
    <mc:AlternateContent xmlns:mc="http://schemas.openxmlformats.org/markup-compatibility/2006">
      <mc:Choice Requires="x14">
        <oleObject progId="Equation.3" shapeId="9218" r:id="rId6">
          <objectPr defaultSize="0" autoPict="0" r:id="rId5">
            <anchor moveWithCells="1">
              <from>
                <xdr:col>14</xdr:col>
                <xdr:colOff>171450</xdr:colOff>
                <xdr:row>15</xdr:row>
                <xdr:rowOff>28575</xdr:rowOff>
              </from>
              <to>
                <xdr:col>14</xdr:col>
                <xdr:colOff>428625</xdr:colOff>
                <xdr:row>15</xdr:row>
                <xdr:rowOff>200025</xdr:rowOff>
              </to>
            </anchor>
          </objectPr>
        </oleObject>
      </mc:Choice>
      <mc:Fallback>
        <oleObject progId="Equation.3" shapeId="9218" r:id="rId6"/>
      </mc:Fallback>
    </mc:AlternateContent>
    <mc:AlternateContent xmlns:mc="http://schemas.openxmlformats.org/markup-compatibility/2006">
      <mc:Choice Requires="x14">
        <oleObject progId="Equation.3" shapeId="9219" r:id="rId7">
          <objectPr defaultSize="0" autoPict="0" r:id="rId5">
            <anchor moveWithCells="1">
              <from>
                <xdr:col>14</xdr:col>
                <xdr:colOff>171450</xdr:colOff>
                <xdr:row>16</xdr:row>
                <xdr:rowOff>28575</xdr:rowOff>
              </from>
              <to>
                <xdr:col>14</xdr:col>
                <xdr:colOff>428625</xdr:colOff>
                <xdr:row>16</xdr:row>
                <xdr:rowOff>200025</xdr:rowOff>
              </to>
            </anchor>
          </objectPr>
        </oleObject>
      </mc:Choice>
      <mc:Fallback>
        <oleObject progId="Equation.3" shapeId="9219" r:id="rId7"/>
      </mc:Fallback>
    </mc:AlternateContent>
    <mc:AlternateContent xmlns:mc="http://schemas.openxmlformats.org/markup-compatibility/2006">
      <mc:Choice Requires="x14">
        <oleObject progId="Equation.3" shapeId="9220" r:id="rId8">
          <objectPr defaultSize="0" autoPict="0" r:id="rId5">
            <anchor moveWithCells="1">
              <from>
                <xdr:col>14</xdr:col>
                <xdr:colOff>171450</xdr:colOff>
                <xdr:row>17</xdr:row>
                <xdr:rowOff>28575</xdr:rowOff>
              </from>
              <to>
                <xdr:col>14</xdr:col>
                <xdr:colOff>428625</xdr:colOff>
                <xdr:row>17</xdr:row>
                <xdr:rowOff>200025</xdr:rowOff>
              </to>
            </anchor>
          </objectPr>
        </oleObject>
      </mc:Choice>
      <mc:Fallback>
        <oleObject progId="Equation.3" shapeId="9220" r:id="rId8"/>
      </mc:Fallback>
    </mc:AlternateContent>
    <mc:AlternateContent xmlns:mc="http://schemas.openxmlformats.org/markup-compatibility/2006">
      <mc:Choice Requires="x14">
        <oleObject progId="Equation.3" shapeId="9221" r:id="rId9">
          <objectPr defaultSize="0" autoPict="0" r:id="rId5">
            <anchor moveWithCells="1">
              <from>
                <xdr:col>14</xdr:col>
                <xdr:colOff>171450</xdr:colOff>
                <xdr:row>18</xdr:row>
                <xdr:rowOff>28575</xdr:rowOff>
              </from>
              <to>
                <xdr:col>14</xdr:col>
                <xdr:colOff>428625</xdr:colOff>
                <xdr:row>18</xdr:row>
                <xdr:rowOff>200025</xdr:rowOff>
              </to>
            </anchor>
          </objectPr>
        </oleObject>
      </mc:Choice>
      <mc:Fallback>
        <oleObject progId="Equation.3" shapeId="9221" r:id="rId9"/>
      </mc:Fallback>
    </mc:AlternateContent>
    <mc:AlternateContent xmlns:mc="http://schemas.openxmlformats.org/markup-compatibility/2006">
      <mc:Choice Requires="x14">
        <oleObject progId="Equation.3" shapeId="9222" r:id="rId10">
          <objectPr defaultSize="0" autoPict="0" r:id="rId5">
            <anchor moveWithCells="1">
              <from>
                <xdr:col>14</xdr:col>
                <xdr:colOff>171450</xdr:colOff>
                <xdr:row>19</xdr:row>
                <xdr:rowOff>28575</xdr:rowOff>
              </from>
              <to>
                <xdr:col>14</xdr:col>
                <xdr:colOff>428625</xdr:colOff>
                <xdr:row>19</xdr:row>
                <xdr:rowOff>200025</xdr:rowOff>
              </to>
            </anchor>
          </objectPr>
        </oleObject>
      </mc:Choice>
      <mc:Fallback>
        <oleObject progId="Equation.3" shapeId="9222" r:id="rId10"/>
      </mc:Fallback>
    </mc:AlternateContent>
    <mc:AlternateContent xmlns:mc="http://schemas.openxmlformats.org/markup-compatibility/2006">
      <mc:Choice Requires="x14">
        <oleObject progId="Equation.3" shapeId="9223" r:id="rId11">
          <objectPr defaultSize="0" autoPict="0" r:id="rId5">
            <anchor moveWithCells="1">
              <from>
                <xdr:col>14</xdr:col>
                <xdr:colOff>171450</xdr:colOff>
                <xdr:row>20</xdr:row>
                <xdr:rowOff>28575</xdr:rowOff>
              </from>
              <to>
                <xdr:col>14</xdr:col>
                <xdr:colOff>428625</xdr:colOff>
                <xdr:row>20</xdr:row>
                <xdr:rowOff>200025</xdr:rowOff>
              </to>
            </anchor>
          </objectPr>
        </oleObject>
      </mc:Choice>
      <mc:Fallback>
        <oleObject progId="Equation.3" shapeId="9223" r:id="rId11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129"/>
  <sheetViews>
    <sheetView tabSelected="1" topLeftCell="B1" zoomScaleNormal="100" workbookViewId="0">
      <selection activeCell="L7" sqref="L7"/>
    </sheetView>
  </sheetViews>
  <sheetFormatPr defaultRowHeight="15"/>
  <cols>
    <col min="1" max="1" width="1.140625" style="51" customWidth="1"/>
    <col min="2" max="20" width="8.140625" style="51" customWidth="1"/>
    <col min="21" max="21" width="4.42578125" style="51" customWidth="1"/>
    <col min="22" max="22" width="7.140625" style="51" customWidth="1"/>
    <col min="23" max="23" width="1.42578125" style="51" customWidth="1"/>
    <col min="30" max="258" width="9.140625" style="51"/>
    <col min="259" max="259" width="1.140625" style="51" customWidth="1"/>
    <col min="260" max="260" width="7.5703125" style="51" customWidth="1"/>
    <col min="261" max="275" width="7.140625" style="51" customWidth="1"/>
    <col min="276" max="277" width="1.42578125" style="51" customWidth="1"/>
    <col min="278" max="278" width="6.42578125" style="51" customWidth="1"/>
    <col min="279" max="280" width="8.7109375" style="51" bestFit="1" customWidth="1"/>
    <col min="281" max="514" width="9.140625" style="51"/>
    <col min="515" max="515" width="1.140625" style="51" customWidth="1"/>
    <col min="516" max="516" width="7.5703125" style="51" customWidth="1"/>
    <col min="517" max="531" width="7.140625" style="51" customWidth="1"/>
    <col min="532" max="533" width="1.42578125" style="51" customWidth="1"/>
    <col min="534" max="534" width="6.42578125" style="51" customWidth="1"/>
    <col min="535" max="536" width="8.7109375" style="51" bestFit="1" customWidth="1"/>
    <col min="537" max="770" width="9.140625" style="51"/>
    <col min="771" max="771" width="1.140625" style="51" customWidth="1"/>
    <col min="772" max="772" width="7.5703125" style="51" customWidth="1"/>
    <col min="773" max="787" width="7.140625" style="51" customWidth="1"/>
    <col min="788" max="789" width="1.42578125" style="51" customWidth="1"/>
    <col min="790" max="790" width="6.42578125" style="51" customWidth="1"/>
    <col min="791" max="792" width="8.7109375" style="51" bestFit="1" customWidth="1"/>
    <col min="793" max="1026" width="9.140625" style="51"/>
    <col min="1027" max="1027" width="1.140625" style="51" customWidth="1"/>
    <col min="1028" max="1028" width="7.5703125" style="51" customWidth="1"/>
    <col min="1029" max="1043" width="7.140625" style="51" customWidth="1"/>
    <col min="1044" max="1045" width="1.42578125" style="51" customWidth="1"/>
    <col min="1046" max="1046" width="6.42578125" style="51" customWidth="1"/>
    <col min="1047" max="1048" width="8.7109375" style="51" bestFit="1" customWidth="1"/>
    <col min="1049" max="1282" width="9.140625" style="51"/>
    <col min="1283" max="1283" width="1.140625" style="51" customWidth="1"/>
    <col min="1284" max="1284" width="7.5703125" style="51" customWidth="1"/>
    <col min="1285" max="1299" width="7.140625" style="51" customWidth="1"/>
    <col min="1300" max="1301" width="1.42578125" style="51" customWidth="1"/>
    <col min="1302" max="1302" width="6.42578125" style="51" customWidth="1"/>
    <col min="1303" max="1304" width="8.7109375" style="51" bestFit="1" customWidth="1"/>
    <col min="1305" max="1538" width="9.140625" style="51"/>
    <col min="1539" max="1539" width="1.140625" style="51" customWidth="1"/>
    <col min="1540" max="1540" width="7.5703125" style="51" customWidth="1"/>
    <col min="1541" max="1555" width="7.140625" style="51" customWidth="1"/>
    <col min="1556" max="1557" width="1.42578125" style="51" customWidth="1"/>
    <col min="1558" max="1558" width="6.42578125" style="51" customWidth="1"/>
    <col min="1559" max="1560" width="8.7109375" style="51" bestFit="1" customWidth="1"/>
    <col min="1561" max="1794" width="9.140625" style="51"/>
    <col min="1795" max="1795" width="1.140625" style="51" customWidth="1"/>
    <col min="1796" max="1796" width="7.5703125" style="51" customWidth="1"/>
    <col min="1797" max="1811" width="7.140625" style="51" customWidth="1"/>
    <col min="1812" max="1813" width="1.42578125" style="51" customWidth="1"/>
    <col min="1814" max="1814" width="6.42578125" style="51" customWidth="1"/>
    <col min="1815" max="1816" width="8.7109375" style="51" bestFit="1" customWidth="1"/>
    <col min="1817" max="2050" width="9.140625" style="51"/>
    <col min="2051" max="2051" width="1.140625" style="51" customWidth="1"/>
    <col min="2052" max="2052" width="7.5703125" style="51" customWidth="1"/>
    <col min="2053" max="2067" width="7.140625" style="51" customWidth="1"/>
    <col min="2068" max="2069" width="1.42578125" style="51" customWidth="1"/>
    <col min="2070" max="2070" width="6.42578125" style="51" customWidth="1"/>
    <col min="2071" max="2072" width="8.7109375" style="51" bestFit="1" customWidth="1"/>
    <col min="2073" max="2306" width="9.140625" style="51"/>
    <col min="2307" max="2307" width="1.140625" style="51" customWidth="1"/>
    <col min="2308" max="2308" width="7.5703125" style="51" customWidth="1"/>
    <col min="2309" max="2323" width="7.140625" style="51" customWidth="1"/>
    <col min="2324" max="2325" width="1.42578125" style="51" customWidth="1"/>
    <col min="2326" max="2326" width="6.42578125" style="51" customWidth="1"/>
    <col min="2327" max="2328" width="8.7109375" style="51" bestFit="1" customWidth="1"/>
    <col min="2329" max="2562" width="9.140625" style="51"/>
    <col min="2563" max="2563" width="1.140625" style="51" customWidth="1"/>
    <col min="2564" max="2564" width="7.5703125" style="51" customWidth="1"/>
    <col min="2565" max="2579" width="7.140625" style="51" customWidth="1"/>
    <col min="2580" max="2581" width="1.42578125" style="51" customWidth="1"/>
    <col min="2582" max="2582" width="6.42578125" style="51" customWidth="1"/>
    <col min="2583" max="2584" width="8.7109375" style="51" bestFit="1" customWidth="1"/>
    <col min="2585" max="2818" width="9.140625" style="51"/>
    <col min="2819" max="2819" width="1.140625" style="51" customWidth="1"/>
    <col min="2820" max="2820" width="7.5703125" style="51" customWidth="1"/>
    <col min="2821" max="2835" width="7.140625" style="51" customWidth="1"/>
    <col min="2836" max="2837" width="1.42578125" style="51" customWidth="1"/>
    <col min="2838" max="2838" width="6.42578125" style="51" customWidth="1"/>
    <col min="2839" max="2840" width="8.7109375" style="51" bestFit="1" customWidth="1"/>
    <col min="2841" max="3074" width="9.140625" style="51"/>
    <col min="3075" max="3075" width="1.140625" style="51" customWidth="1"/>
    <col min="3076" max="3076" width="7.5703125" style="51" customWidth="1"/>
    <col min="3077" max="3091" width="7.140625" style="51" customWidth="1"/>
    <col min="3092" max="3093" width="1.42578125" style="51" customWidth="1"/>
    <col min="3094" max="3094" width="6.42578125" style="51" customWidth="1"/>
    <col min="3095" max="3096" width="8.7109375" style="51" bestFit="1" customWidth="1"/>
    <col min="3097" max="3330" width="9.140625" style="51"/>
    <col min="3331" max="3331" width="1.140625" style="51" customWidth="1"/>
    <col min="3332" max="3332" width="7.5703125" style="51" customWidth="1"/>
    <col min="3333" max="3347" width="7.140625" style="51" customWidth="1"/>
    <col min="3348" max="3349" width="1.42578125" style="51" customWidth="1"/>
    <col min="3350" max="3350" width="6.42578125" style="51" customWidth="1"/>
    <col min="3351" max="3352" width="8.7109375" style="51" bestFit="1" customWidth="1"/>
    <col min="3353" max="3586" width="9.140625" style="51"/>
    <col min="3587" max="3587" width="1.140625" style="51" customWidth="1"/>
    <col min="3588" max="3588" width="7.5703125" style="51" customWidth="1"/>
    <col min="3589" max="3603" width="7.140625" style="51" customWidth="1"/>
    <col min="3604" max="3605" width="1.42578125" style="51" customWidth="1"/>
    <col min="3606" max="3606" width="6.42578125" style="51" customWidth="1"/>
    <col min="3607" max="3608" width="8.7109375" style="51" bestFit="1" customWidth="1"/>
    <col min="3609" max="3842" width="9.140625" style="51"/>
    <col min="3843" max="3843" width="1.140625" style="51" customWidth="1"/>
    <col min="3844" max="3844" width="7.5703125" style="51" customWidth="1"/>
    <col min="3845" max="3859" width="7.140625" style="51" customWidth="1"/>
    <col min="3860" max="3861" width="1.42578125" style="51" customWidth="1"/>
    <col min="3862" max="3862" width="6.42578125" style="51" customWidth="1"/>
    <col min="3863" max="3864" width="8.7109375" style="51" bestFit="1" customWidth="1"/>
    <col min="3865" max="4098" width="9.140625" style="51"/>
    <col min="4099" max="4099" width="1.140625" style="51" customWidth="1"/>
    <col min="4100" max="4100" width="7.5703125" style="51" customWidth="1"/>
    <col min="4101" max="4115" width="7.140625" style="51" customWidth="1"/>
    <col min="4116" max="4117" width="1.42578125" style="51" customWidth="1"/>
    <col min="4118" max="4118" width="6.42578125" style="51" customWidth="1"/>
    <col min="4119" max="4120" width="8.7109375" style="51" bestFit="1" customWidth="1"/>
    <col min="4121" max="4354" width="9.140625" style="51"/>
    <col min="4355" max="4355" width="1.140625" style="51" customWidth="1"/>
    <col min="4356" max="4356" width="7.5703125" style="51" customWidth="1"/>
    <col min="4357" max="4371" width="7.140625" style="51" customWidth="1"/>
    <col min="4372" max="4373" width="1.42578125" style="51" customWidth="1"/>
    <col min="4374" max="4374" width="6.42578125" style="51" customWidth="1"/>
    <col min="4375" max="4376" width="8.7109375" style="51" bestFit="1" customWidth="1"/>
    <col min="4377" max="4610" width="9.140625" style="51"/>
    <col min="4611" max="4611" width="1.140625" style="51" customWidth="1"/>
    <col min="4612" max="4612" width="7.5703125" style="51" customWidth="1"/>
    <col min="4613" max="4627" width="7.140625" style="51" customWidth="1"/>
    <col min="4628" max="4629" width="1.42578125" style="51" customWidth="1"/>
    <col min="4630" max="4630" width="6.42578125" style="51" customWidth="1"/>
    <col min="4631" max="4632" width="8.7109375" style="51" bestFit="1" customWidth="1"/>
    <col min="4633" max="4866" width="9.140625" style="51"/>
    <col min="4867" max="4867" width="1.140625" style="51" customWidth="1"/>
    <col min="4868" max="4868" width="7.5703125" style="51" customWidth="1"/>
    <col min="4869" max="4883" width="7.140625" style="51" customWidth="1"/>
    <col min="4884" max="4885" width="1.42578125" style="51" customWidth="1"/>
    <col min="4886" max="4886" width="6.42578125" style="51" customWidth="1"/>
    <col min="4887" max="4888" width="8.7109375" style="51" bestFit="1" customWidth="1"/>
    <col min="4889" max="5122" width="9.140625" style="51"/>
    <col min="5123" max="5123" width="1.140625" style="51" customWidth="1"/>
    <col min="5124" max="5124" width="7.5703125" style="51" customWidth="1"/>
    <col min="5125" max="5139" width="7.140625" style="51" customWidth="1"/>
    <col min="5140" max="5141" width="1.42578125" style="51" customWidth="1"/>
    <col min="5142" max="5142" width="6.42578125" style="51" customWidth="1"/>
    <col min="5143" max="5144" width="8.7109375" style="51" bestFit="1" customWidth="1"/>
    <col min="5145" max="5378" width="9.140625" style="51"/>
    <col min="5379" max="5379" width="1.140625" style="51" customWidth="1"/>
    <col min="5380" max="5380" width="7.5703125" style="51" customWidth="1"/>
    <col min="5381" max="5395" width="7.140625" style="51" customWidth="1"/>
    <col min="5396" max="5397" width="1.42578125" style="51" customWidth="1"/>
    <col min="5398" max="5398" width="6.42578125" style="51" customWidth="1"/>
    <col min="5399" max="5400" width="8.7109375" style="51" bestFit="1" customWidth="1"/>
    <col min="5401" max="5634" width="9.140625" style="51"/>
    <col min="5635" max="5635" width="1.140625" style="51" customWidth="1"/>
    <col min="5636" max="5636" width="7.5703125" style="51" customWidth="1"/>
    <col min="5637" max="5651" width="7.140625" style="51" customWidth="1"/>
    <col min="5652" max="5653" width="1.42578125" style="51" customWidth="1"/>
    <col min="5654" max="5654" width="6.42578125" style="51" customWidth="1"/>
    <col min="5655" max="5656" width="8.7109375" style="51" bestFit="1" customWidth="1"/>
    <col min="5657" max="5890" width="9.140625" style="51"/>
    <col min="5891" max="5891" width="1.140625" style="51" customWidth="1"/>
    <col min="5892" max="5892" width="7.5703125" style="51" customWidth="1"/>
    <col min="5893" max="5907" width="7.140625" style="51" customWidth="1"/>
    <col min="5908" max="5909" width="1.42578125" style="51" customWidth="1"/>
    <col min="5910" max="5910" width="6.42578125" style="51" customWidth="1"/>
    <col min="5911" max="5912" width="8.7109375" style="51" bestFit="1" customWidth="1"/>
    <col min="5913" max="6146" width="9.140625" style="51"/>
    <col min="6147" max="6147" width="1.140625" style="51" customWidth="1"/>
    <col min="6148" max="6148" width="7.5703125" style="51" customWidth="1"/>
    <col min="6149" max="6163" width="7.140625" style="51" customWidth="1"/>
    <col min="6164" max="6165" width="1.42578125" style="51" customWidth="1"/>
    <col min="6166" max="6166" width="6.42578125" style="51" customWidth="1"/>
    <col min="6167" max="6168" width="8.7109375" style="51" bestFit="1" customWidth="1"/>
    <col min="6169" max="6402" width="9.140625" style="51"/>
    <col min="6403" max="6403" width="1.140625" style="51" customWidth="1"/>
    <col min="6404" max="6404" width="7.5703125" style="51" customWidth="1"/>
    <col min="6405" max="6419" width="7.140625" style="51" customWidth="1"/>
    <col min="6420" max="6421" width="1.42578125" style="51" customWidth="1"/>
    <col min="6422" max="6422" width="6.42578125" style="51" customWidth="1"/>
    <col min="6423" max="6424" width="8.7109375" style="51" bestFit="1" customWidth="1"/>
    <col min="6425" max="6658" width="9.140625" style="51"/>
    <col min="6659" max="6659" width="1.140625" style="51" customWidth="1"/>
    <col min="6660" max="6660" width="7.5703125" style="51" customWidth="1"/>
    <col min="6661" max="6675" width="7.140625" style="51" customWidth="1"/>
    <col min="6676" max="6677" width="1.42578125" style="51" customWidth="1"/>
    <col min="6678" max="6678" width="6.42578125" style="51" customWidth="1"/>
    <col min="6679" max="6680" width="8.7109375" style="51" bestFit="1" customWidth="1"/>
    <col min="6681" max="6914" width="9.140625" style="51"/>
    <col min="6915" max="6915" width="1.140625" style="51" customWidth="1"/>
    <col min="6916" max="6916" width="7.5703125" style="51" customWidth="1"/>
    <col min="6917" max="6931" width="7.140625" style="51" customWidth="1"/>
    <col min="6932" max="6933" width="1.42578125" style="51" customWidth="1"/>
    <col min="6934" max="6934" width="6.42578125" style="51" customWidth="1"/>
    <col min="6935" max="6936" width="8.7109375" style="51" bestFit="1" customWidth="1"/>
    <col min="6937" max="7170" width="9.140625" style="51"/>
    <col min="7171" max="7171" width="1.140625" style="51" customWidth="1"/>
    <col min="7172" max="7172" width="7.5703125" style="51" customWidth="1"/>
    <col min="7173" max="7187" width="7.140625" style="51" customWidth="1"/>
    <col min="7188" max="7189" width="1.42578125" style="51" customWidth="1"/>
    <col min="7190" max="7190" width="6.42578125" style="51" customWidth="1"/>
    <col min="7191" max="7192" width="8.7109375" style="51" bestFit="1" customWidth="1"/>
    <col min="7193" max="7426" width="9.140625" style="51"/>
    <col min="7427" max="7427" width="1.140625" style="51" customWidth="1"/>
    <col min="7428" max="7428" width="7.5703125" style="51" customWidth="1"/>
    <col min="7429" max="7443" width="7.140625" style="51" customWidth="1"/>
    <col min="7444" max="7445" width="1.42578125" style="51" customWidth="1"/>
    <col min="7446" max="7446" width="6.42578125" style="51" customWidth="1"/>
    <col min="7447" max="7448" width="8.7109375" style="51" bestFit="1" customWidth="1"/>
    <col min="7449" max="7682" width="9.140625" style="51"/>
    <col min="7683" max="7683" width="1.140625" style="51" customWidth="1"/>
    <col min="7684" max="7684" width="7.5703125" style="51" customWidth="1"/>
    <col min="7685" max="7699" width="7.140625" style="51" customWidth="1"/>
    <col min="7700" max="7701" width="1.42578125" style="51" customWidth="1"/>
    <col min="7702" max="7702" width="6.42578125" style="51" customWidth="1"/>
    <col min="7703" max="7704" width="8.7109375" style="51" bestFit="1" customWidth="1"/>
    <col min="7705" max="7938" width="9.140625" style="51"/>
    <col min="7939" max="7939" width="1.140625" style="51" customWidth="1"/>
    <col min="7940" max="7940" width="7.5703125" style="51" customWidth="1"/>
    <col min="7941" max="7955" width="7.140625" style="51" customWidth="1"/>
    <col min="7956" max="7957" width="1.42578125" style="51" customWidth="1"/>
    <col min="7958" max="7958" width="6.42578125" style="51" customWidth="1"/>
    <col min="7959" max="7960" width="8.7109375" style="51" bestFit="1" customWidth="1"/>
    <col min="7961" max="8194" width="9.140625" style="51"/>
    <col min="8195" max="8195" width="1.140625" style="51" customWidth="1"/>
    <col min="8196" max="8196" width="7.5703125" style="51" customWidth="1"/>
    <col min="8197" max="8211" width="7.140625" style="51" customWidth="1"/>
    <col min="8212" max="8213" width="1.42578125" style="51" customWidth="1"/>
    <col min="8214" max="8214" width="6.42578125" style="51" customWidth="1"/>
    <col min="8215" max="8216" width="8.7109375" style="51" bestFit="1" customWidth="1"/>
    <col min="8217" max="8450" width="9.140625" style="51"/>
    <col min="8451" max="8451" width="1.140625" style="51" customWidth="1"/>
    <col min="8452" max="8452" width="7.5703125" style="51" customWidth="1"/>
    <col min="8453" max="8467" width="7.140625" style="51" customWidth="1"/>
    <col min="8468" max="8469" width="1.42578125" style="51" customWidth="1"/>
    <col min="8470" max="8470" width="6.42578125" style="51" customWidth="1"/>
    <col min="8471" max="8472" width="8.7109375" style="51" bestFit="1" customWidth="1"/>
    <col min="8473" max="8706" width="9.140625" style="51"/>
    <col min="8707" max="8707" width="1.140625" style="51" customWidth="1"/>
    <col min="8708" max="8708" width="7.5703125" style="51" customWidth="1"/>
    <col min="8709" max="8723" width="7.140625" style="51" customWidth="1"/>
    <col min="8724" max="8725" width="1.42578125" style="51" customWidth="1"/>
    <col min="8726" max="8726" width="6.42578125" style="51" customWidth="1"/>
    <col min="8727" max="8728" width="8.7109375" style="51" bestFit="1" customWidth="1"/>
    <col min="8729" max="8962" width="9.140625" style="51"/>
    <col min="8963" max="8963" width="1.140625" style="51" customWidth="1"/>
    <col min="8964" max="8964" width="7.5703125" style="51" customWidth="1"/>
    <col min="8965" max="8979" width="7.140625" style="51" customWidth="1"/>
    <col min="8980" max="8981" width="1.42578125" style="51" customWidth="1"/>
    <col min="8982" max="8982" width="6.42578125" style="51" customWidth="1"/>
    <col min="8983" max="8984" width="8.7109375" style="51" bestFit="1" customWidth="1"/>
    <col min="8985" max="9218" width="9.140625" style="51"/>
    <col min="9219" max="9219" width="1.140625" style="51" customWidth="1"/>
    <col min="9220" max="9220" width="7.5703125" style="51" customWidth="1"/>
    <col min="9221" max="9235" width="7.140625" style="51" customWidth="1"/>
    <col min="9236" max="9237" width="1.42578125" style="51" customWidth="1"/>
    <col min="9238" max="9238" width="6.42578125" style="51" customWidth="1"/>
    <col min="9239" max="9240" width="8.7109375" style="51" bestFit="1" customWidth="1"/>
    <col min="9241" max="9474" width="9.140625" style="51"/>
    <col min="9475" max="9475" width="1.140625" style="51" customWidth="1"/>
    <col min="9476" max="9476" width="7.5703125" style="51" customWidth="1"/>
    <col min="9477" max="9491" width="7.140625" style="51" customWidth="1"/>
    <col min="9492" max="9493" width="1.42578125" style="51" customWidth="1"/>
    <col min="9494" max="9494" width="6.42578125" style="51" customWidth="1"/>
    <col min="9495" max="9496" width="8.7109375" style="51" bestFit="1" customWidth="1"/>
    <col min="9497" max="9730" width="9.140625" style="51"/>
    <col min="9731" max="9731" width="1.140625" style="51" customWidth="1"/>
    <col min="9732" max="9732" width="7.5703125" style="51" customWidth="1"/>
    <col min="9733" max="9747" width="7.140625" style="51" customWidth="1"/>
    <col min="9748" max="9749" width="1.42578125" style="51" customWidth="1"/>
    <col min="9750" max="9750" width="6.42578125" style="51" customWidth="1"/>
    <col min="9751" max="9752" width="8.7109375" style="51" bestFit="1" customWidth="1"/>
    <col min="9753" max="9986" width="9.140625" style="51"/>
    <col min="9987" max="9987" width="1.140625" style="51" customWidth="1"/>
    <col min="9988" max="9988" width="7.5703125" style="51" customWidth="1"/>
    <col min="9989" max="10003" width="7.140625" style="51" customWidth="1"/>
    <col min="10004" max="10005" width="1.42578125" style="51" customWidth="1"/>
    <col min="10006" max="10006" width="6.42578125" style="51" customWidth="1"/>
    <col min="10007" max="10008" width="8.7109375" style="51" bestFit="1" customWidth="1"/>
    <col min="10009" max="10242" width="9.140625" style="51"/>
    <col min="10243" max="10243" width="1.140625" style="51" customWidth="1"/>
    <col min="10244" max="10244" width="7.5703125" style="51" customWidth="1"/>
    <col min="10245" max="10259" width="7.140625" style="51" customWidth="1"/>
    <col min="10260" max="10261" width="1.42578125" style="51" customWidth="1"/>
    <col min="10262" max="10262" width="6.42578125" style="51" customWidth="1"/>
    <col min="10263" max="10264" width="8.7109375" style="51" bestFit="1" customWidth="1"/>
    <col min="10265" max="10498" width="9.140625" style="51"/>
    <col min="10499" max="10499" width="1.140625" style="51" customWidth="1"/>
    <col min="10500" max="10500" width="7.5703125" style="51" customWidth="1"/>
    <col min="10501" max="10515" width="7.140625" style="51" customWidth="1"/>
    <col min="10516" max="10517" width="1.42578125" style="51" customWidth="1"/>
    <col min="10518" max="10518" width="6.42578125" style="51" customWidth="1"/>
    <col min="10519" max="10520" width="8.7109375" style="51" bestFit="1" customWidth="1"/>
    <col min="10521" max="10754" width="9.140625" style="51"/>
    <col min="10755" max="10755" width="1.140625" style="51" customWidth="1"/>
    <col min="10756" max="10756" width="7.5703125" style="51" customWidth="1"/>
    <col min="10757" max="10771" width="7.140625" style="51" customWidth="1"/>
    <col min="10772" max="10773" width="1.42578125" style="51" customWidth="1"/>
    <col min="10774" max="10774" width="6.42578125" style="51" customWidth="1"/>
    <col min="10775" max="10776" width="8.7109375" style="51" bestFit="1" customWidth="1"/>
    <col min="10777" max="11010" width="9.140625" style="51"/>
    <col min="11011" max="11011" width="1.140625" style="51" customWidth="1"/>
    <col min="11012" max="11012" width="7.5703125" style="51" customWidth="1"/>
    <col min="11013" max="11027" width="7.140625" style="51" customWidth="1"/>
    <col min="11028" max="11029" width="1.42578125" style="51" customWidth="1"/>
    <col min="11030" max="11030" width="6.42578125" style="51" customWidth="1"/>
    <col min="11031" max="11032" width="8.7109375" style="51" bestFit="1" customWidth="1"/>
    <col min="11033" max="11266" width="9.140625" style="51"/>
    <col min="11267" max="11267" width="1.140625" style="51" customWidth="1"/>
    <col min="11268" max="11268" width="7.5703125" style="51" customWidth="1"/>
    <col min="11269" max="11283" width="7.140625" style="51" customWidth="1"/>
    <col min="11284" max="11285" width="1.42578125" style="51" customWidth="1"/>
    <col min="11286" max="11286" width="6.42578125" style="51" customWidth="1"/>
    <col min="11287" max="11288" width="8.7109375" style="51" bestFit="1" customWidth="1"/>
    <col min="11289" max="11522" width="9.140625" style="51"/>
    <col min="11523" max="11523" width="1.140625" style="51" customWidth="1"/>
    <col min="11524" max="11524" width="7.5703125" style="51" customWidth="1"/>
    <col min="11525" max="11539" width="7.140625" style="51" customWidth="1"/>
    <col min="11540" max="11541" width="1.42578125" style="51" customWidth="1"/>
    <col min="11542" max="11542" width="6.42578125" style="51" customWidth="1"/>
    <col min="11543" max="11544" width="8.7109375" style="51" bestFit="1" customWidth="1"/>
    <col min="11545" max="11778" width="9.140625" style="51"/>
    <col min="11779" max="11779" width="1.140625" style="51" customWidth="1"/>
    <col min="11780" max="11780" width="7.5703125" style="51" customWidth="1"/>
    <col min="11781" max="11795" width="7.140625" style="51" customWidth="1"/>
    <col min="11796" max="11797" width="1.42578125" style="51" customWidth="1"/>
    <col min="11798" max="11798" width="6.42578125" style="51" customWidth="1"/>
    <col min="11799" max="11800" width="8.7109375" style="51" bestFit="1" customWidth="1"/>
    <col min="11801" max="12034" width="9.140625" style="51"/>
    <col min="12035" max="12035" width="1.140625" style="51" customWidth="1"/>
    <col min="12036" max="12036" width="7.5703125" style="51" customWidth="1"/>
    <col min="12037" max="12051" width="7.140625" style="51" customWidth="1"/>
    <col min="12052" max="12053" width="1.42578125" style="51" customWidth="1"/>
    <col min="12054" max="12054" width="6.42578125" style="51" customWidth="1"/>
    <col min="12055" max="12056" width="8.7109375" style="51" bestFit="1" customWidth="1"/>
    <col min="12057" max="12290" width="9.140625" style="51"/>
    <col min="12291" max="12291" width="1.140625" style="51" customWidth="1"/>
    <col min="12292" max="12292" width="7.5703125" style="51" customWidth="1"/>
    <col min="12293" max="12307" width="7.140625" style="51" customWidth="1"/>
    <col min="12308" max="12309" width="1.42578125" style="51" customWidth="1"/>
    <col min="12310" max="12310" width="6.42578125" style="51" customWidth="1"/>
    <col min="12311" max="12312" width="8.7109375" style="51" bestFit="1" customWidth="1"/>
    <col min="12313" max="12546" width="9.140625" style="51"/>
    <col min="12547" max="12547" width="1.140625" style="51" customWidth="1"/>
    <col min="12548" max="12548" width="7.5703125" style="51" customWidth="1"/>
    <col min="12549" max="12563" width="7.140625" style="51" customWidth="1"/>
    <col min="12564" max="12565" width="1.42578125" style="51" customWidth="1"/>
    <col min="12566" max="12566" width="6.42578125" style="51" customWidth="1"/>
    <col min="12567" max="12568" width="8.7109375" style="51" bestFit="1" customWidth="1"/>
    <col min="12569" max="12802" width="9.140625" style="51"/>
    <col min="12803" max="12803" width="1.140625" style="51" customWidth="1"/>
    <col min="12804" max="12804" width="7.5703125" style="51" customWidth="1"/>
    <col min="12805" max="12819" width="7.140625" style="51" customWidth="1"/>
    <col min="12820" max="12821" width="1.42578125" style="51" customWidth="1"/>
    <col min="12822" max="12822" width="6.42578125" style="51" customWidth="1"/>
    <col min="12823" max="12824" width="8.7109375" style="51" bestFit="1" customWidth="1"/>
    <col min="12825" max="13058" width="9.140625" style="51"/>
    <col min="13059" max="13059" width="1.140625" style="51" customWidth="1"/>
    <col min="13060" max="13060" width="7.5703125" style="51" customWidth="1"/>
    <col min="13061" max="13075" width="7.140625" style="51" customWidth="1"/>
    <col min="13076" max="13077" width="1.42578125" style="51" customWidth="1"/>
    <col min="13078" max="13078" width="6.42578125" style="51" customWidth="1"/>
    <col min="13079" max="13080" width="8.7109375" style="51" bestFit="1" customWidth="1"/>
    <col min="13081" max="13314" width="9.140625" style="51"/>
    <col min="13315" max="13315" width="1.140625" style="51" customWidth="1"/>
    <col min="13316" max="13316" width="7.5703125" style="51" customWidth="1"/>
    <col min="13317" max="13331" width="7.140625" style="51" customWidth="1"/>
    <col min="13332" max="13333" width="1.42578125" style="51" customWidth="1"/>
    <col min="13334" max="13334" width="6.42578125" style="51" customWidth="1"/>
    <col min="13335" max="13336" width="8.7109375" style="51" bestFit="1" customWidth="1"/>
    <col min="13337" max="13570" width="9.140625" style="51"/>
    <col min="13571" max="13571" width="1.140625" style="51" customWidth="1"/>
    <col min="13572" max="13572" width="7.5703125" style="51" customWidth="1"/>
    <col min="13573" max="13587" width="7.140625" style="51" customWidth="1"/>
    <col min="13588" max="13589" width="1.42578125" style="51" customWidth="1"/>
    <col min="13590" max="13590" width="6.42578125" style="51" customWidth="1"/>
    <col min="13591" max="13592" width="8.7109375" style="51" bestFit="1" customWidth="1"/>
    <col min="13593" max="13826" width="9.140625" style="51"/>
    <col min="13827" max="13827" width="1.140625" style="51" customWidth="1"/>
    <col min="13828" max="13828" width="7.5703125" style="51" customWidth="1"/>
    <col min="13829" max="13843" width="7.140625" style="51" customWidth="1"/>
    <col min="13844" max="13845" width="1.42578125" style="51" customWidth="1"/>
    <col min="13846" max="13846" width="6.42578125" style="51" customWidth="1"/>
    <col min="13847" max="13848" width="8.7109375" style="51" bestFit="1" customWidth="1"/>
    <col min="13849" max="14082" width="9.140625" style="51"/>
    <col min="14083" max="14083" width="1.140625" style="51" customWidth="1"/>
    <col min="14084" max="14084" width="7.5703125" style="51" customWidth="1"/>
    <col min="14085" max="14099" width="7.140625" style="51" customWidth="1"/>
    <col min="14100" max="14101" width="1.42578125" style="51" customWidth="1"/>
    <col min="14102" max="14102" width="6.42578125" style="51" customWidth="1"/>
    <col min="14103" max="14104" width="8.7109375" style="51" bestFit="1" customWidth="1"/>
    <col min="14105" max="14338" width="9.140625" style="51"/>
    <col min="14339" max="14339" width="1.140625" style="51" customWidth="1"/>
    <col min="14340" max="14340" width="7.5703125" style="51" customWidth="1"/>
    <col min="14341" max="14355" width="7.140625" style="51" customWidth="1"/>
    <col min="14356" max="14357" width="1.42578125" style="51" customWidth="1"/>
    <col min="14358" max="14358" width="6.42578125" style="51" customWidth="1"/>
    <col min="14359" max="14360" width="8.7109375" style="51" bestFit="1" customWidth="1"/>
    <col min="14361" max="14594" width="9.140625" style="51"/>
    <col min="14595" max="14595" width="1.140625" style="51" customWidth="1"/>
    <col min="14596" max="14596" width="7.5703125" style="51" customWidth="1"/>
    <col min="14597" max="14611" width="7.140625" style="51" customWidth="1"/>
    <col min="14612" max="14613" width="1.42578125" style="51" customWidth="1"/>
    <col min="14614" max="14614" width="6.42578125" style="51" customWidth="1"/>
    <col min="14615" max="14616" width="8.7109375" style="51" bestFit="1" customWidth="1"/>
    <col min="14617" max="14850" width="9.140625" style="51"/>
    <col min="14851" max="14851" width="1.140625" style="51" customWidth="1"/>
    <col min="14852" max="14852" width="7.5703125" style="51" customWidth="1"/>
    <col min="14853" max="14867" width="7.140625" style="51" customWidth="1"/>
    <col min="14868" max="14869" width="1.42578125" style="51" customWidth="1"/>
    <col min="14870" max="14870" width="6.42578125" style="51" customWidth="1"/>
    <col min="14871" max="14872" width="8.7109375" style="51" bestFit="1" customWidth="1"/>
    <col min="14873" max="15106" width="9.140625" style="51"/>
    <col min="15107" max="15107" width="1.140625" style="51" customWidth="1"/>
    <col min="15108" max="15108" width="7.5703125" style="51" customWidth="1"/>
    <col min="15109" max="15123" width="7.140625" style="51" customWidth="1"/>
    <col min="15124" max="15125" width="1.42578125" style="51" customWidth="1"/>
    <col min="15126" max="15126" width="6.42578125" style="51" customWidth="1"/>
    <col min="15127" max="15128" width="8.7109375" style="51" bestFit="1" customWidth="1"/>
    <col min="15129" max="15362" width="9.140625" style="51"/>
    <col min="15363" max="15363" width="1.140625" style="51" customWidth="1"/>
    <col min="15364" max="15364" width="7.5703125" style="51" customWidth="1"/>
    <col min="15365" max="15379" width="7.140625" style="51" customWidth="1"/>
    <col min="15380" max="15381" width="1.42578125" style="51" customWidth="1"/>
    <col min="15382" max="15382" width="6.42578125" style="51" customWidth="1"/>
    <col min="15383" max="15384" width="8.7109375" style="51" bestFit="1" customWidth="1"/>
    <col min="15385" max="15618" width="9.140625" style="51"/>
    <col min="15619" max="15619" width="1.140625" style="51" customWidth="1"/>
    <col min="15620" max="15620" width="7.5703125" style="51" customWidth="1"/>
    <col min="15621" max="15635" width="7.140625" style="51" customWidth="1"/>
    <col min="15636" max="15637" width="1.42578125" style="51" customWidth="1"/>
    <col min="15638" max="15638" width="6.42578125" style="51" customWidth="1"/>
    <col min="15639" max="15640" width="8.7109375" style="51" bestFit="1" customWidth="1"/>
    <col min="15641" max="15874" width="9.140625" style="51"/>
    <col min="15875" max="15875" width="1.140625" style="51" customWidth="1"/>
    <col min="15876" max="15876" width="7.5703125" style="51" customWidth="1"/>
    <col min="15877" max="15891" width="7.140625" style="51" customWidth="1"/>
    <col min="15892" max="15893" width="1.42578125" style="51" customWidth="1"/>
    <col min="15894" max="15894" width="6.42578125" style="51" customWidth="1"/>
    <col min="15895" max="15896" width="8.7109375" style="51" bestFit="1" customWidth="1"/>
    <col min="15897" max="16130" width="9.140625" style="51"/>
    <col min="16131" max="16131" width="1.140625" style="51" customWidth="1"/>
    <col min="16132" max="16132" width="7.5703125" style="51" customWidth="1"/>
    <col min="16133" max="16147" width="7.140625" style="51" customWidth="1"/>
    <col min="16148" max="16149" width="1.42578125" style="51" customWidth="1"/>
    <col min="16150" max="16150" width="6.42578125" style="51" customWidth="1"/>
    <col min="16151" max="16152" width="8.7109375" style="51" bestFit="1" customWidth="1"/>
    <col min="16153" max="16384" width="9.140625" style="51"/>
  </cols>
  <sheetData>
    <row r="1" spans="1:32" ht="18" customHeight="1"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32" ht="33" customHeight="1">
      <c r="B2" s="462" t="s">
        <v>212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</row>
    <row r="3" spans="1:32" ht="18" customHeight="1">
      <c r="B3" s="535"/>
      <c r="C3" s="535"/>
      <c r="D3" s="535"/>
      <c r="E3" s="535"/>
      <c r="F3" s="535"/>
      <c r="G3" s="535"/>
      <c r="H3" s="535"/>
      <c r="I3" s="535"/>
      <c r="J3" s="54"/>
      <c r="K3" s="54"/>
      <c r="L3" s="57"/>
      <c r="M3" s="57"/>
      <c r="N3" s="57"/>
      <c r="O3" s="57"/>
      <c r="T3" s="57"/>
    </row>
    <row r="4" spans="1:32" ht="18" customHeight="1">
      <c r="B4" s="536" t="s">
        <v>213</v>
      </c>
      <c r="C4" s="537"/>
      <c r="D4" s="467" t="s">
        <v>33</v>
      </c>
      <c r="E4" s="469"/>
      <c r="F4" s="467" t="s">
        <v>214</v>
      </c>
      <c r="G4" s="469"/>
      <c r="H4" s="467" t="s">
        <v>215</v>
      </c>
      <c r="I4" s="469"/>
      <c r="J4" s="467" t="s">
        <v>216</v>
      </c>
      <c r="K4" s="469"/>
      <c r="L4" s="467" t="s">
        <v>217</v>
      </c>
      <c r="M4" s="469"/>
      <c r="N4" s="538" t="s">
        <v>218</v>
      </c>
      <c r="O4" s="539"/>
      <c r="P4" s="529" t="s">
        <v>219</v>
      </c>
      <c r="Q4" s="529" t="s">
        <v>51</v>
      </c>
      <c r="R4" s="529" t="s">
        <v>220</v>
      </c>
      <c r="S4" s="529" t="s">
        <v>221</v>
      </c>
      <c r="T4" s="298" t="s">
        <v>222</v>
      </c>
      <c r="AD4" s="66"/>
      <c r="AE4" s="66"/>
      <c r="AF4" s="66"/>
    </row>
    <row r="5" spans="1:32" ht="18" customHeight="1">
      <c r="B5" s="531" t="s">
        <v>223</v>
      </c>
      <c r="C5" s="532"/>
      <c r="D5" s="531" t="s">
        <v>223</v>
      </c>
      <c r="E5" s="532"/>
      <c r="F5" s="531" t="s">
        <v>223</v>
      </c>
      <c r="G5" s="532"/>
      <c r="H5" s="531" t="s">
        <v>223</v>
      </c>
      <c r="I5" s="532"/>
      <c r="J5" s="531" t="s">
        <v>223</v>
      </c>
      <c r="K5" s="532"/>
      <c r="L5" s="531" t="s">
        <v>223</v>
      </c>
      <c r="M5" s="532"/>
      <c r="N5" s="531" t="s">
        <v>223</v>
      </c>
      <c r="O5" s="532"/>
      <c r="P5" s="530"/>
      <c r="Q5" s="530"/>
      <c r="R5" s="530"/>
      <c r="S5" s="530"/>
      <c r="T5" s="299" t="s">
        <v>224</v>
      </c>
      <c r="AD5" s="66"/>
      <c r="AE5" s="66"/>
      <c r="AF5" s="66"/>
    </row>
    <row r="6" spans="1:32" ht="18" customHeight="1">
      <c r="B6" s="533" t="s">
        <v>47</v>
      </c>
      <c r="C6" s="534"/>
      <c r="D6" s="300" t="s">
        <v>47</v>
      </c>
      <c r="E6" s="301" t="s">
        <v>51</v>
      </c>
      <c r="F6" s="300" t="s">
        <v>47</v>
      </c>
      <c r="G6" s="301" t="s">
        <v>51</v>
      </c>
      <c r="H6" s="300" t="s">
        <v>47</v>
      </c>
      <c r="I6" s="301" t="s">
        <v>51</v>
      </c>
      <c r="J6" s="300" t="s">
        <v>47</v>
      </c>
      <c r="K6" s="301" t="s">
        <v>51</v>
      </c>
      <c r="L6" s="300" t="s">
        <v>47</v>
      </c>
      <c r="M6" s="301" t="s">
        <v>51</v>
      </c>
      <c r="N6" s="300" t="s">
        <v>47</v>
      </c>
      <c r="O6" s="301" t="s">
        <v>51</v>
      </c>
      <c r="P6" s="300" t="s">
        <v>47</v>
      </c>
      <c r="Q6" s="300" t="s">
        <v>47</v>
      </c>
      <c r="R6" s="300" t="s">
        <v>47</v>
      </c>
      <c r="S6" s="302" t="s">
        <v>47</v>
      </c>
      <c r="T6" s="303" t="s">
        <v>47</v>
      </c>
      <c r="W6" s="69"/>
      <c r="AD6" s="66"/>
      <c r="AE6" s="66"/>
      <c r="AF6" s="66"/>
    </row>
    <row r="7" spans="1:32" ht="18" customHeight="1">
      <c r="A7" s="66"/>
      <c r="B7" s="527">
        <f>'[3]Uncertainty Budget(Pitch)'!B7</f>
        <v>8.9174677405389033</v>
      </c>
      <c r="C7" s="528"/>
      <c r="D7" s="304">
        <f>'[3]Data Record(minor)'!X24</f>
        <v>0</v>
      </c>
      <c r="E7" s="81">
        <f t="shared" ref="E7:E20" si="0">D7/1</f>
        <v>0</v>
      </c>
      <c r="F7" s="76">
        <v>0</v>
      </c>
      <c r="G7" s="84">
        <f t="shared" ref="G7:G20" si="1">F7/SQRT(3)</f>
        <v>0</v>
      </c>
      <c r="H7" s="305">
        <f>'[3]Cert of STD'!F10</f>
        <v>2.0999999999999998E-4</v>
      </c>
      <c r="I7" s="84">
        <f t="shared" ref="I7:I20" si="2">H7/2</f>
        <v>1.0499999999999999E-4</v>
      </c>
      <c r="J7" s="76">
        <f>0.00001/2</f>
        <v>5.0000000000000004E-6</v>
      </c>
      <c r="K7" s="81">
        <f t="shared" ref="K7:K20" si="3">(J7/SQRT(3))</f>
        <v>2.8867513459481293E-6</v>
      </c>
      <c r="L7" s="77">
        <f>(O25*1000)*2</f>
        <v>3.2646773226384932E-4</v>
      </c>
      <c r="M7" s="77">
        <f t="shared" ref="M7:M20" si="4">L7/SQRT(3)</f>
        <v>1.8848623310426009E-4</v>
      </c>
      <c r="N7" s="77">
        <f t="shared" ref="N7:N20" si="5">((B7)*(11.5*10^-6)*1)</f>
        <v>1.0255087901619739E-4</v>
      </c>
      <c r="O7" s="77">
        <f t="shared" ref="O7:O20" si="6">N7/SQRT(3)</f>
        <v>5.9207777605634313E-5</v>
      </c>
      <c r="P7" s="77">
        <f>SQRT(E7^2+G7^2+I7^2+K7^2+M7^2+O7^2)</f>
        <v>2.2375422751797354E-4</v>
      </c>
      <c r="Q7" s="86">
        <f t="shared" ref="Q7:Q20" si="7">E7/1</f>
        <v>0</v>
      </c>
      <c r="R7" s="71">
        <f t="shared" ref="R7:R20" si="8">(P7^4)/(((IF(Q7&lt;=0,0.001,Q7)^4)/9))</f>
        <v>2.2559398048713944E-2</v>
      </c>
      <c r="S7" s="74" t="str">
        <f t="shared" ref="S7:S20" si="9">IF(R7&gt;0,"2.00",TINV(0.0455,R7))</f>
        <v>2.00</v>
      </c>
      <c r="T7" s="306">
        <f>P7*S7*1000</f>
        <v>0.44750845503594705</v>
      </c>
      <c r="W7" s="69"/>
      <c r="AD7" s="66"/>
      <c r="AE7" s="66"/>
      <c r="AF7" s="66"/>
    </row>
    <row r="8" spans="1:32" ht="18" customHeight="1">
      <c r="A8" s="66"/>
      <c r="B8" s="527">
        <f>'[3]Uncertainty Budget(Pitch)'!B8</f>
        <v>8.9174677405389033</v>
      </c>
      <c r="C8" s="528"/>
      <c r="D8" s="304">
        <f>'[3]Data Record(pitch)'!Z31</f>
        <v>0</v>
      </c>
      <c r="E8" s="81">
        <f t="shared" si="0"/>
        <v>0</v>
      </c>
      <c r="F8" s="76">
        <v>0</v>
      </c>
      <c r="G8" s="84">
        <f t="shared" si="1"/>
        <v>0</v>
      </c>
      <c r="H8" s="305">
        <f>'[3]Cert of STD'!F11</f>
        <v>2.0999999999999998E-4</v>
      </c>
      <c r="I8" s="84">
        <f t="shared" si="2"/>
        <v>1.0499999999999999E-4</v>
      </c>
      <c r="J8" s="76">
        <f>J7</f>
        <v>5.0000000000000004E-6</v>
      </c>
      <c r="K8" s="81">
        <f t="shared" si="3"/>
        <v>2.8867513459481293E-6</v>
      </c>
      <c r="L8" s="77">
        <f>L7</f>
        <v>3.2646773226384932E-4</v>
      </c>
      <c r="M8" s="77">
        <f t="shared" si="4"/>
        <v>1.8848623310426009E-4</v>
      </c>
      <c r="N8" s="77">
        <f t="shared" si="5"/>
        <v>1.0255087901619739E-4</v>
      </c>
      <c r="O8" s="77">
        <f t="shared" si="6"/>
        <v>5.9207777605634313E-5</v>
      </c>
      <c r="P8" s="77">
        <f t="shared" ref="P8:P20" si="10">SQRT(E8^2+G8^2+I8^2+K8^2+M8^2+O8^2)</f>
        <v>2.2375422751797354E-4</v>
      </c>
      <c r="Q8" s="86">
        <f t="shared" si="7"/>
        <v>0</v>
      </c>
      <c r="R8" s="71">
        <f t="shared" si="8"/>
        <v>2.2559398048713944E-2</v>
      </c>
      <c r="S8" s="74" t="str">
        <f t="shared" si="9"/>
        <v>2.00</v>
      </c>
      <c r="T8" s="306">
        <f t="shared" ref="T8:T20" si="11">P8*S8*1000</f>
        <v>0.44750845503594705</v>
      </c>
      <c r="W8" s="69"/>
      <c r="AD8" s="66"/>
      <c r="AE8" s="66"/>
      <c r="AF8" s="66"/>
    </row>
    <row r="9" spans="1:32" s="66" customFormat="1" ht="18" customHeight="1">
      <c r="B9" s="527">
        <f>'[3]Uncertainty Budget(Pitch)'!B9</f>
        <v>8</v>
      </c>
      <c r="C9" s="528"/>
      <c r="D9" s="304">
        <f>'[3]Data Record(pitch)'!Z31</f>
        <v>0</v>
      </c>
      <c r="E9" s="81">
        <f t="shared" si="0"/>
        <v>0</v>
      </c>
      <c r="F9" s="76">
        <v>0</v>
      </c>
      <c r="G9" s="84">
        <f t="shared" si="1"/>
        <v>0</v>
      </c>
      <c r="H9" s="305">
        <f>'[3]Cert of STD'!F12</f>
        <v>2.0999999999999998E-4</v>
      </c>
      <c r="I9" s="84">
        <f t="shared" si="2"/>
        <v>1.0499999999999999E-4</v>
      </c>
      <c r="J9" s="76">
        <f t="shared" ref="J9:J20" si="12">J8</f>
        <v>5.0000000000000004E-6</v>
      </c>
      <c r="K9" s="81">
        <f t="shared" si="3"/>
        <v>2.8867513459481293E-6</v>
      </c>
      <c r="L9" s="77">
        <f t="shared" ref="L9:L20" si="13">L8</f>
        <v>3.2646773226384932E-4</v>
      </c>
      <c r="M9" s="77">
        <f t="shared" si="4"/>
        <v>1.8848623310426009E-4</v>
      </c>
      <c r="N9" s="77">
        <f t="shared" si="5"/>
        <v>9.2E-5</v>
      </c>
      <c r="O9" s="77">
        <f t="shared" si="6"/>
        <v>5.3116224765445572E-5</v>
      </c>
      <c r="P9" s="77">
        <f t="shared" si="10"/>
        <v>2.2221999625708785E-4</v>
      </c>
      <c r="Q9" s="86">
        <f t="shared" si="7"/>
        <v>0</v>
      </c>
      <c r="R9" s="71">
        <f t="shared" si="8"/>
        <v>2.1946994419305348E-2</v>
      </c>
      <c r="S9" s="74" t="str">
        <f t="shared" si="9"/>
        <v>2.00</v>
      </c>
      <c r="T9" s="306">
        <f t="shared" si="11"/>
        <v>0.44443999251417571</v>
      </c>
      <c r="W9" s="72"/>
    </row>
    <row r="10" spans="1:32" s="66" customFormat="1" ht="18" customHeight="1">
      <c r="B10" s="527">
        <f>'[3]Uncertainty Budget(Pitch)'!B10</f>
        <v>10</v>
      </c>
      <c r="C10" s="528"/>
      <c r="D10" s="304">
        <f>'[3]Data Record(pitch)'!Z31</f>
        <v>0</v>
      </c>
      <c r="E10" s="81">
        <f t="shared" si="0"/>
        <v>0</v>
      </c>
      <c r="F10" s="76">
        <v>0</v>
      </c>
      <c r="G10" s="84">
        <f t="shared" si="1"/>
        <v>0</v>
      </c>
      <c r="H10" s="305">
        <f>'[3]Cert of STD'!F13</f>
        <v>2.3000000000000001E-4</v>
      </c>
      <c r="I10" s="84">
        <f t="shared" si="2"/>
        <v>1.15E-4</v>
      </c>
      <c r="J10" s="76">
        <f t="shared" si="12"/>
        <v>5.0000000000000004E-6</v>
      </c>
      <c r="K10" s="81">
        <f t="shared" si="3"/>
        <v>2.8867513459481293E-6</v>
      </c>
      <c r="L10" s="77">
        <f t="shared" si="13"/>
        <v>3.2646773226384932E-4</v>
      </c>
      <c r="M10" s="77">
        <f t="shared" si="4"/>
        <v>1.8848623310426009E-4</v>
      </c>
      <c r="N10" s="77">
        <f t="shared" si="5"/>
        <v>1.15E-4</v>
      </c>
      <c r="O10" s="77">
        <f t="shared" si="6"/>
        <v>6.6395280956806963E-5</v>
      </c>
      <c r="P10" s="77">
        <f t="shared" si="10"/>
        <v>2.3058344853111234E-4</v>
      </c>
      <c r="Q10" s="86">
        <f t="shared" si="7"/>
        <v>0</v>
      </c>
      <c r="R10" s="71">
        <f t="shared" si="8"/>
        <v>2.5442221525025618E-2</v>
      </c>
      <c r="S10" s="74" t="str">
        <f t="shared" si="9"/>
        <v>2.00</v>
      </c>
      <c r="T10" s="306">
        <f t="shared" si="11"/>
        <v>0.46116689706222469</v>
      </c>
      <c r="W10" s="72"/>
    </row>
    <row r="11" spans="1:32" s="66" customFormat="1" ht="18" customHeight="1">
      <c r="B11" s="527">
        <f>'[3]Uncertainty Budget(Pitch)'!B11</f>
        <v>12</v>
      </c>
      <c r="C11" s="528"/>
      <c r="D11" s="304">
        <f>'[3]Data Record(pitch)'!Z31</f>
        <v>0</v>
      </c>
      <c r="E11" s="81">
        <f t="shared" si="0"/>
        <v>0</v>
      </c>
      <c r="F11" s="76">
        <v>0</v>
      </c>
      <c r="G11" s="84">
        <f t="shared" si="1"/>
        <v>0</v>
      </c>
      <c r="H11" s="305">
        <f>'[3]Cert of STD'!F13</f>
        <v>2.3000000000000001E-4</v>
      </c>
      <c r="I11" s="84">
        <f t="shared" si="2"/>
        <v>1.15E-4</v>
      </c>
      <c r="J11" s="76">
        <f t="shared" si="12"/>
        <v>5.0000000000000004E-6</v>
      </c>
      <c r="K11" s="81">
        <f t="shared" si="3"/>
        <v>2.8867513459481293E-6</v>
      </c>
      <c r="L11" s="77">
        <f t="shared" si="13"/>
        <v>3.2646773226384932E-4</v>
      </c>
      <c r="M11" s="77">
        <f t="shared" si="4"/>
        <v>1.8848623310426009E-4</v>
      </c>
      <c r="N11" s="77">
        <f t="shared" si="5"/>
        <v>1.3799999999999999E-4</v>
      </c>
      <c r="O11" s="77">
        <f t="shared" si="6"/>
        <v>7.9674337148168362E-5</v>
      </c>
      <c r="P11" s="77">
        <f t="shared" si="10"/>
        <v>2.3475176975513263E-4</v>
      </c>
      <c r="Q11" s="86">
        <f t="shared" si="7"/>
        <v>0</v>
      </c>
      <c r="R11" s="71">
        <f t="shared" si="8"/>
        <v>2.7332415211303786E-2</v>
      </c>
      <c r="S11" s="74" t="str">
        <f t="shared" si="9"/>
        <v>2.00</v>
      </c>
      <c r="T11" s="306">
        <f t="shared" si="11"/>
        <v>0.46950353951026524</v>
      </c>
      <c r="W11" s="72"/>
    </row>
    <row r="12" spans="1:32" s="66" customFormat="1" ht="18" customHeight="1">
      <c r="B12" s="527">
        <f>'[3]Uncertainty Budget(Pitch)'!B12</f>
        <v>18</v>
      </c>
      <c r="C12" s="528"/>
      <c r="D12" s="304">
        <f>'[3]Data Record(pitch)'!Z31</f>
        <v>0</v>
      </c>
      <c r="E12" s="81">
        <f t="shared" si="0"/>
        <v>0</v>
      </c>
      <c r="F12" s="76">
        <v>0</v>
      </c>
      <c r="G12" s="84">
        <f t="shared" si="1"/>
        <v>0</v>
      </c>
      <c r="H12" s="305">
        <f>'[3]Cert of STD'!F13</f>
        <v>2.3000000000000001E-4</v>
      </c>
      <c r="I12" s="84">
        <f t="shared" si="2"/>
        <v>1.15E-4</v>
      </c>
      <c r="J12" s="76">
        <f t="shared" si="12"/>
        <v>5.0000000000000004E-6</v>
      </c>
      <c r="K12" s="81">
        <f t="shared" si="3"/>
        <v>2.8867513459481293E-6</v>
      </c>
      <c r="L12" s="77">
        <f t="shared" si="13"/>
        <v>3.2646773226384932E-4</v>
      </c>
      <c r="M12" s="77">
        <f t="shared" si="4"/>
        <v>1.8848623310426009E-4</v>
      </c>
      <c r="N12" s="77">
        <f t="shared" si="5"/>
        <v>2.0699999999999999E-4</v>
      </c>
      <c r="O12" s="77">
        <f t="shared" si="6"/>
        <v>1.1951150572225253E-4</v>
      </c>
      <c r="P12" s="77">
        <f t="shared" si="10"/>
        <v>2.510844348086253E-4</v>
      </c>
      <c r="Q12" s="86">
        <f t="shared" si="7"/>
        <v>0</v>
      </c>
      <c r="R12" s="71">
        <f t="shared" si="8"/>
        <v>3.5770225066078111E-2</v>
      </c>
      <c r="S12" s="74" t="str">
        <f t="shared" si="9"/>
        <v>2.00</v>
      </c>
      <c r="T12" s="306">
        <f t="shared" si="11"/>
        <v>0.5021688696172506</v>
      </c>
      <c r="W12" s="72"/>
      <c r="AD12" s="51"/>
      <c r="AE12" s="51"/>
      <c r="AF12" s="51"/>
    </row>
    <row r="13" spans="1:32" s="66" customFormat="1" ht="18" customHeight="1">
      <c r="B13" s="527">
        <f>'[3]Uncertainty Budget(Pitch)'!B13</f>
        <v>20</v>
      </c>
      <c r="C13" s="528"/>
      <c r="D13" s="304">
        <f>'[3]Data Record(pitch)'!Z31</f>
        <v>0</v>
      </c>
      <c r="E13" s="81">
        <f t="shared" si="0"/>
        <v>0</v>
      </c>
      <c r="F13" s="76">
        <v>0</v>
      </c>
      <c r="G13" s="84">
        <f t="shared" si="1"/>
        <v>0</v>
      </c>
      <c r="H13" s="305">
        <f>'[3]Cert of STD'!F13</f>
        <v>2.3000000000000001E-4</v>
      </c>
      <c r="I13" s="84">
        <f t="shared" si="2"/>
        <v>1.15E-4</v>
      </c>
      <c r="J13" s="76">
        <f t="shared" si="12"/>
        <v>5.0000000000000004E-6</v>
      </c>
      <c r="K13" s="81">
        <f t="shared" si="3"/>
        <v>2.8867513459481293E-6</v>
      </c>
      <c r="L13" s="77">
        <f t="shared" si="13"/>
        <v>3.2646773226384932E-4</v>
      </c>
      <c r="M13" s="77">
        <f t="shared" si="4"/>
        <v>1.8848623310426009E-4</v>
      </c>
      <c r="N13" s="77">
        <f t="shared" si="5"/>
        <v>2.3000000000000001E-4</v>
      </c>
      <c r="O13" s="77">
        <f t="shared" si="6"/>
        <v>1.3279056191361393E-4</v>
      </c>
      <c r="P13" s="77">
        <f t="shared" si="10"/>
        <v>2.5766980175507593E-4</v>
      </c>
      <c r="Q13" s="86">
        <f t="shared" si="7"/>
        <v>0</v>
      </c>
      <c r="R13" s="71">
        <f t="shared" si="8"/>
        <v>3.9673142549649473E-2</v>
      </c>
      <c r="S13" s="74" t="str">
        <f t="shared" si="9"/>
        <v>2.00</v>
      </c>
      <c r="T13" s="306">
        <f t="shared" si="11"/>
        <v>0.51533960351015184</v>
      </c>
      <c r="W13" s="72"/>
      <c r="AD13" s="51"/>
      <c r="AE13" s="51"/>
      <c r="AF13" s="51"/>
    </row>
    <row r="14" spans="1:32" s="66" customFormat="1" ht="18" customHeight="1">
      <c r="B14" s="527">
        <f>'[3]Uncertainty Budget(Pitch)'!B14</f>
        <v>25</v>
      </c>
      <c r="C14" s="528"/>
      <c r="D14" s="304">
        <f>'[3]Data Record(pitch)'!Z31</f>
        <v>0</v>
      </c>
      <c r="E14" s="81">
        <f t="shared" si="0"/>
        <v>0</v>
      </c>
      <c r="F14" s="76">
        <v>0</v>
      </c>
      <c r="G14" s="84">
        <f t="shared" si="1"/>
        <v>0</v>
      </c>
      <c r="H14" s="305">
        <f>'[3]Cert of STD'!F14</f>
        <v>2.7E-4</v>
      </c>
      <c r="I14" s="84">
        <f t="shared" si="2"/>
        <v>1.35E-4</v>
      </c>
      <c r="J14" s="76">
        <f t="shared" si="12"/>
        <v>5.0000000000000004E-6</v>
      </c>
      <c r="K14" s="81">
        <f t="shared" si="3"/>
        <v>2.8867513459481293E-6</v>
      </c>
      <c r="L14" s="77">
        <f t="shared" si="13"/>
        <v>3.2646773226384932E-4</v>
      </c>
      <c r="M14" s="77">
        <f t="shared" si="4"/>
        <v>1.8848623310426009E-4</v>
      </c>
      <c r="N14" s="77">
        <f t="shared" si="5"/>
        <v>2.875E-4</v>
      </c>
      <c r="O14" s="77">
        <f t="shared" si="6"/>
        <v>1.6598820239201742E-4</v>
      </c>
      <c r="P14" s="77">
        <f t="shared" si="10"/>
        <v>2.8515342666098222E-4</v>
      </c>
      <c r="Q14" s="86">
        <f t="shared" si="7"/>
        <v>0</v>
      </c>
      <c r="R14" s="71">
        <f t="shared" si="8"/>
        <v>5.9505469857214922E-2</v>
      </c>
      <c r="S14" s="74" t="str">
        <f t="shared" si="9"/>
        <v>2.00</v>
      </c>
      <c r="T14" s="306">
        <f t="shared" si="11"/>
        <v>0.5703068533219644</v>
      </c>
      <c r="W14" s="72"/>
      <c r="AD14" s="51"/>
      <c r="AE14" s="51"/>
      <c r="AF14" s="51"/>
    </row>
    <row r="15" spans="1:32" s="66" customFormat="1" ht="18" customHeight="1">
      <c r="B15" s="527">
        <f>'[3]Uncertainty Budget(Pitch)'!B15</f>
        <v>30</v>
      </c>
      <c r="C15" s="528"/>
      <c r="D15" s="304">
        <f>'[3]Data Record(pitch)'!Z31</f>
        <v>0</v>
      </c>
      <c r="E15" s="81">
        <f t="shared" si="0"/>
        <v>0</v>
      </c>
      <c r="F15" s="76">
        <v>0</v>
      </c>
      <c r="G15" s="84">
        <f t="shared" si="1"/>
        <v>0</v>
      </c>
      <c r="H15" s="305">
        <f>'[3]Cert of STD'!F14</f>
        <v>2.7E-4</v>
      </c>
      <c r="I15" s="84">
        <f t="shared" si="2"/>
        <v>1.35E-4</v>
      </c>
      <c r="J15" s="76">
        <f t="shared" si="12"/>
        <v>5.0000000000000004E-6</v>
      </c>
      <c r="K15" s="81">
        <f t="shared" si="3"/>
        <v>2.8867513459481293E-6</v>
      </c>
      <c r="L15" s="77">
        <f t="shared" si="13"/>
        <v>3.2646773226384932E-4</v>
      </c>
      <c r="M15" s="77">
        <f t="shared" si="4"/>
        <v>1.8848623310426009E-4</v>
      </c>
      <c r="N15" s="77">
        <f t="shared" si="5"/>
        <v>3.4499999999999998E-4</v>
      </c>
      <c r="O15" s="77">
        <f t="shared" si="6"/>
        <v>1.9918584287042089E-4</v>
      </c>
      <c r="P15" s="77">
        <f t="shared" si="10"/>
        <v>3.0567203569048773E-4</v>
      </c>
      <c r="Q15" s="86">
        <f t="shared" si="7"/>
        <v>0</v>
      </c>
      <c r="R15" s="71">
        <f t="shared" si="8"/>
        <v>7.8571554663640908E-2</v>
      </c>
      <c r="S15" s="74" t="str">
        <f t="shared" si="9"/>
        <v>2.00</v>
      </c>
      <c r="T15" s="306">
        <f t="shared" si="11"/>
        <v>0.61134407138097546</v>
      </c>
      <c r="W15" s="72"/>
      <c r="AD15" s="51"/>
      <c r="AE15" s="51"/>
      <c r="AF15" s="51"/>
    </row>
    <row r="16" spans="1:32" s="66" customFormat="1" ht="18" customHeight="1">
      <c r="B16" s="527">
        <f>'[3]Uncertainty Budget(Pitch)'!B16</f>
        <v>75</v>
      </c>
      <c r="C16" s="528"/>
      <c r="D16" s="304">
        <f>'[3]Data Record(pitch)'!Z31</f>
        <v>0</v>
      </c>
      <c r="E16" s="81">
        <f t="shared" si="0"/>
        <v>0</v>
      </c>
      <c r="F16" s="76">
        <v>0</v>
      </c>
      <c r="G16" s="84">
        <f t="shared" si="1"/>
        <v>0</v>
      </c>
      <c r="H16" s="305">
        <f>'[3]Cert of STD'!F19</f>
        <v>3.8999999999999999E-4</v>
      </c>
      <c r="I16" s="84">
        <f>H16/2</f>
        <v>1.95E-4</v>
      </c>
      <c r="J16" s="76">
        <f t="shared" si="12"/>
        <v>5.0000000000000004E-6</v>
      </c>
      <c r="K16" s="81">
        <f t="shared" si="3"/>
        <v>2.8867513459481293E-6</v>
      </c>
      <c r="L16" s="77">
        <f t="shared" si="13"/>
        <v>3.2646773226384932E-4</v>
      </c>
      <c r="M16" s="77">
        <f t="shared" si="4"/>
        <v>1.8848623310426009E-4</v>
      </c>
      <c r="N16" s="77">
        <f t="shared" si="5"/>
        <v>8.6249999999999999E-4</v>
      </c>
      <c r="O16" s="77">
        <f t="shared" si="6"/>
        <v>4.9796460717605221E-4</v>
      </c>
      <c r="P16" s="77">
        <f t="shared" si="10"/>
        <v>5.6703539872142623E-4</v>
      </c>
      <c r="Q16" s="86">
        <f t="shared" si="7"/>
        <v>0</v>
      </c>
      <c r="R16" s="71">
        <f t="shared" si="8"/>
        <v>0.93042891051816801</v>
      </c>
      <c r="S16" s="74" t="str">
        <f t="shared" si="9"/>
        <v>2.00</v>
      </c>
      <c r="T16" s="306">
        <f t="shared" si="11"/>
        <v>1.1340707974428526</v>
      </c>
      <c r="W16" s="72"/>
      <c r="AD16" s="51"/>
      <c r="AE16" s="51"/>
      <c r="AF16" s="51"/>
    </row>
    <row r="17" spans="1:32" s="66" customFormat="1" ht="18" customHeight="1">
      <c r="B17" s="527">
        <f>'[3]Uncertainty Budget(Pitch)'!B17</f>
        <v>90</v>
      </c>
      <c r="C17" s="528"/>
      <c r="D17" s="304">
        <f>'[3]Data Record(pitch)'!Z31</f>
        <v>0</v>
      </c>
      <c r="E17" s="81">
        <f t="shared" si="0"/>
        <v>0</v>
      </c>
      <c r="F17" s="76">
        <v>0</v>
      </c>
      <c r="G17" s="84">
        <f t="shared" si="1"/>
        <v>0</v>
      </c>
      <c r="H17" s="305">
        <f>'[3]Cert of STD'!F20</f>
        <v>3.8999999999999999E-4</v>
      </c>
      <c r="I17" s="84">
        <f t="shared" si="2"/>
        <v>1.95E-4</v>
      </c>
      <c r="J17" s="76">
        <f t="shared" si="12"/>
        <v>5.0000000000000004E-6</v>
      </c>
      <c r="K17" s="81">
        <f t="shared" si="3"/>
        <v>2.8867513459481293E-6</v>
      </c>
      <c r="L17" s="77">
        <f t="shared" si="13"/>
        <v>3.2646773226384932E-4</v>
      </c>
      <c r="M17" s="77">
        <f t="shared" si="4"/>
        <v>1.8848623310426009E-4</v>
      </c>
      <c r="N17" s="77">
        <f t="shared" si="5"/>
        <v>1.0349999999999999E-3</v>
      </c>
      <c r="O17" s="77">
        <f t="shared" si="6"/>
        <v>5.9755752861126259E-4</v>
      </c>
      <c r="P17" s="77">
        <f t="shared" si="10"/>
        <v>6.5622815651506959E-4</v>
      </c>
      <c r="Q17" s="86">
        <f t="shared" si="7"/>
        <v>0</v>
      </c>
      <c r="R17" s="71">
        <f t="shared" si="8"/>
        <v>1.6690215784635012</v>
      </c>
      <c r="S17" s="74" t="str">
        <f t="shared" si="9"/>
        <v>2.00</v>
      </c>
      <c r="T17" s="306">
        <f t="shared" si="11"/>
        <v>1.3124563130301392</v>
      </c>
      <c r="AD17" s="51"/>
      <c r="AE17" s="51"/>
      <c r="AF17" s="51"/>
    </row>
    <row r="18" spans="1:32" s="66" customFormat="1" ht="18" customHeight="1">
      <c r="B18" s="527">
        <f>'[3]Uncertainty Budget(Pitch)'!B18</f>
        <v>100</v>
      </c>
      <c r="C18" s="528"/>
      <c r="D18" s="304">
        <f>'[3]Data Record(pitch)'!Z31</f>
        <v>0</v>
      </c>
      <c r="E18" s="81">
        <f t="shared" si="0"/>
        <v>0</v>
      </c>
      <c r="F18" s="76">
        <v>0</v>
      </c>
      <c r="G18" s="84">
        <f t="shared" si="1"/>
        <v>0</v>
      </c>
      <c r="H18" s="305">
        <f>'[3]Cert of STD'!F21</f>
        <v>3.8999999999999999E-4</v>
      </c>
      <c r="I18" s="84">
        <f t="shared" si="2"/>
        <v>1.95E-4</v>
      </c>
      <c r="J18" s="76">
        <f t="shared" si="12"/>
        <v>5.0000000000000004E-6</v>
      </c>
      <c r="K18" s="81">
        <f t="shared" si="3"/>
        <v>2.8867513459481293E-6</v>
      </c>
      <c r="L18" s="77">
        <f t="shared" si="13"/>
        <v>3.2646773226384932E-4</v>
      </c>
      <c r="M18" s="77">
        <f t="shared" si="4"/>
        <v>1.8848623310426009E-4</v>
      </c>
      <c r="N18" s="77">
        <f t="shared" si="5"/>
        <v>1.15E-3</v>
      </c>
      <c r="O18" s="77">
        <f t="shared" si="6"/>
        <v>6.6395280956806969E-4</v>
      </c>
      <c r="P18" s="77">
        <f t="shared" si="10"/>
        <v>7.1721246973020499E-4</v>
      </c>
      <c r="Q18" s="86">
        <f t="shared" si="7"/>
        <v>0</v>
      </c>
      <c r="R18" s="71">
        <f t="shared" si="8"/>
        <v>2.3814081549527875</v>
      </c>
      <c r="S18" s="74" t="str">
        <f t="shared" si="9"/>
        <v>2.00</v>
      </c>
      <c r="T18" s="306">
        <f t="shared" si="11"/>
        <v>1.4344249394604101</v>
      </c>
      <c r="AD18" s="51"/>
      <c r="AE18" s="51"/>
      <c r="AF18" s="51"/>
    </row>
    <row r="19" spans="1:32" s="66" customFormat="1" ht="18" customHeight="1">
      <c r="A19" s="51"/>
      <c r="B19" s="527">
        <f>'[3]Uncertainty Budget(Pitch)'!B19</f>
        <v>125</v>
      </c>
      <c r="C19" s="528"/>
      <c r="D19" s="304">
        <f>'[3]Data Record(pitch)'!Z31</f>
        <v>0</v>
      </c>
      <c r="E19" s="81">
        <f t="shared" si="0"/>
        <v>0</v>
      </c>
      <c r="F19" s="76">
        <f>'[3]Cert of STD'!R18</f>
        <v>1.7999999999999998E-4</v>
      </c>
      <c r="G19" s="84">
        <f t="shared" si="1"/>
        <v>1.0392304845413263E-4</v>
      </c>
      <c r="H19" s="305">
        <f>'[3]Cert of STD'!F21</f>
        <v>3.8999999999999999E-4</v>
      </c>
      <c r="I19" s="84">
        <f t="shared" si="2"/>
        <v>1.95E-4</v>
      </c>
      <c r="J19" s="76">
        <f t="shared" si="12"/>
        <v>5.0000000000000004E-6</v>
      </c>
      <c r="K19" s="81">
        <f t="shared" si="3"/>
        <v>2.8867513459481293E-6</v>
      </c>
      <c r="L19" s="77">
        <f>L18</f>
        <v>3.2646773226384932E-4</v>
      </c>
      <c r="M19" s="77">
        <f t="shared" si="4"/>
        <v>1.8848623310426009E-4</v>
      </c>
      <c r="N19" s="77">
        <f t="shared" si="5"/>
        <v>1.4375E-3</v>
      </c>
      <c r="O19" s="77">
        <f t="shared" si="6"/>
        <v>8.2994101196008706E-4</v>
      </c>
      <c r="P19" s="77">
        <f t="shared" si="10"/>
        <v>8.7929658064642797E-4</v>
      </c>
      <c r="Q19" s="86">
        <f t="shared" si="7"/>
        <v>0</v>
      </c>
      <c r="R19" s="71">
        <f t="shared" si="8"/>
        <v>5.3800219388998736</v>
      </c>
      <c r="S19" s="74" t="str">
        <f t="shared" si="9"/>
        <v>2.00</v>
      </c>
      <c r="T19" s="306">
        <f t="shared" si="11"/>
        <v>1.758593161292856</v>
      </c>
      <c r="AD19" s="51"/>
      <c r="AE19" s="51"/>
      <c r="AF19" s="51"/>
    </row>
    <row r="20" spans="1:32" s="66" customFormat="1" ht="18" customHeight="1">
      <c r="A20" s="51"/>
      <c r="B20" s="527">
        <f>'[3]Uncertainty Budget(Pitch)'!B20</f>
        <v>150</v>
      </c>
      <c r="C20" s="528"/>
      <c r="D20" s="304">
        <f>'[3]Data Record(pitch)'!Z31</f>
        <v>0</v>
      </c>
      <c r="E20" s="81">
        <f t="shared" si="0"/>
        <v>0</v>
      </c>
      <c r="F20" s="76">
        <f>'[3]Cert of STD'!R18</f>
        <v>1.7999999999999998E-4</v>
      </c>
      <c r="G20" s="84">
        <f t="shared" si="1"/>
        <v>1.0392304845413263E-4</v>
      </c>
      <c r="H20" s="305">
        <f>'[3]Cert of STD'!F21</f>
        <v>3.8999999999999999E-4</v>
      </c>
      <c r="I20" s="84">
        <f t="shared" si="2"/>
        <v>1.95E-4</v>
      </c>
      <c r="J20" s="76">
        <f t="shared" si="12"/>
        <v>5.0000000000000004E-6</v>
      </c>
      <c r="K20" s="81">
        <f t="shared" si="3"/>
        <v>2.8867513459481293E-6</v>
      </c>
      <c r="L20" s="77">
        <f t="shared" si="13"/>
        <v>3.2646773226384932E-4</v>
      </c>
      <c r="M20" s="77">
        <f t="shared" si="4"/>
        <v>1.8848623310426009E-4</v>
      </c>
      <c r="N20" s="77">
        <f t="shared" si="5"/>
        <v>1.725E-3</v>
      </c>
      <c r="O20" s="77">
        <f t="shared" si="6"/>
        <v>9.9592921435210442E-4</v>
      </c>
      <c r="P20" s="77">
        <f t="shared" si="10"/>
        <v>1.0374176562036944E-3</v>
      </c>
      <c r="Q20" s="86">
        <f t="shared" si="7"/>
        <v>0</v>
      </c>
      <c r="R20" s="71">
        <f t="shared" si="8"/>
        <v>10.424543598123019</v>
      </c>
      <c r="S20" s="74" t="str">
        <f t="shared" si="9"/>
        <v>2.00</v>
      </c>
      <c r="T20" s="306">
        <f t="shared" si="11"/>
        <v>2.0748353124073886</v>
      </c>
      <c r="AD20" s="51"/>
      <c r="AE20" s="51"/>
      <c r="AF20" s="51"/>
    </row>
    <row r="21" spans="1:32" s="66" customFormat="1" ht="18" customHeight="1">
      <c r="A21" s="5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8"/>
      <c r="V21" s="89"/>
      <c r="AD21" s="51"/>
      <c r="AE21" s="51"/>
      <c r="AF21" s="51"/>
    </row>
    <row r="22" spans="1:32" s="13" customFormat="1" ht="18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 t="s">
        <v>225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2" s="13" customFormat="1" ht="18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493" t="s">
        <v>151</v>
      </c>
      <c r="M23" s="494" t="s">
        <v>152</v>
      </c>
      <c r="N23" s="494"/>
      <c r="O23" s="494"/>
      <c r="P23" s="7"/>
      <c r="Q23" s="7"/>
      <c r="R23" s="7"/>
      <c r="S23" s="7"/>
      <c r="T23" s="7"/>
      <c r="U23"/>
      <c r="V23" s="7"/>
      <c r="W23" s="7"/>
      <c r="X23" s="7"/>
      <c r="Y23" s="7"/>
      <c r="Z23" s="7"/>
      <c r="AA23" s="7"/>
      <c r="AB23" s="7"/>
      <c r="AC23" s="7"/>
      <c r="AD23" s="7"/>
    </row>
    <row r="24" spans="1:32" s="13" customFormat="1" ht="18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494"/>
      <c r="M24" s="494"/>
      <c r="N24" s="494"/>
      <c r="O24" s="494"/>
      <c r="P24" s="7"/>
      <c r="Q24" s="7"/>
      <c r="R24" s="7"/>
      <c r="S24" s="7"/>
      <c r="T24" s="7"/>
      <c r="U24"/>
      <c r="V24" s="7"/>
      <c r="W24" s="7"/>
      <c r="X24" s="7"/>
      <c r="Y24" s="7"/>
      <c r="Z24" s="7"/>
      <c r="AA24" s="7"/>
      <c r="AB24" s="7"/>
      <c r="AC24" s="7"/>
      <c r="AD24" s="7"/>
    </row>
    <row r="25" spans="1:32" s="13" customFormat="1" ht="18" customHeight="1">
      <c r="B25" s="7"/>
      <c r="C25" s="7"/>
      <c r="D25" s="7"/>
      <c r="E25" s="7"/>
      <c r="F25" s="7"/>
      <c r="G25" s="7"/>
      <c r="H25" s="7"/>
      <c r="I25" s="7"/>
      <c r="J25" s="7"/>
      <c r="K25" s="254" t="s">
        <v>154</v>
      </c>
      <c r="L25" s="255">
        <f>((((9*O27^2)/(8*(M28/1000)))*(((1-P29^2)/(4*10^11))+((1-N29^2)/(2*10^11)))^2)^(1/3))</f>
        <v>8.1616933065962311E-8</v>
      </c>
      <c r="M25" s="254"/>
      <c r="N25" s="256" t="s">
        <v>155</v>
      </c>
      <c r="O25" s="257">
        <f>(SIN((60/2)*PI()/180)^(-5/3))*(0.5^(2/3))*L25</f>
        <v>1.6323386613192465E-7</v>
      </c>
      <c r="P25" s="7"/>
      <c r="Q25" s="7"/>
      <c r="R25" s="7"/>
      <c r="S25" s="7"/>
      <c r="T25" s="7"/>
      <c r="U25"/>
      <c r="V25" s="7"/>
      <c r="W25" s="7"/>
      <c r="X25" s="7"/>
      <c r="Y25" s="7"/>
      <c r="Z25" s="7"/>
      <c r="AA25" s="7"/>
      <c r="AB25" s="7"/>
      <c r="AC25" s="7"/>
      <c r="AD25" s="7"/>
    </row>
    <row r="26" spans="1:32" s="13" customFormat="1" ht="18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254"/>
      <c r="M26" s="254"/>
      <c r="N26" s="254"/>
      <c r="O26" s="254"/>
      <c r="P26" s="7"/>
      <c r="Q26" s="7"/>
      <c r="R26" s="7"/>
      <c r="S26" s="525" t="s">
        <v>25</v>
      </c>
      <c r="T26" s="526"/>
      <c r="U26"/>
      <c r="V26" s="7"/>
      <c r="W26" s="7"/>
      <c r="X26" s="7"/>
      <c r="Y26" s="7"/>
      <c r="Z26" s="7"/>
      <c r="AA26" s="7"/>
      <c r="AB26" s="7"/>
      <c r="AC26" s="7"/>
      <c r="AD26" s="7"/>
    </row>
    <row r="27" spans="1:32" s="13" customFormat="1" ht="18" customHeight="1">
      <c r="B27" s="7"/>
      <c r="C27" s="7"/>
      <c r="D27" s="7"/>
      <c r="E27" s="7"/>
      <c r="F27" s="7"/>
      <c r="G27" s="7"/>
      <c r="H27" s="7"/>
      <c r="I27" s="7"/>
      <c r="J27" s="258" t="s">
        <v>156</v>
      </c>
      <c r="K27" s="7" t="s">
        <v>157</v>
      </c>
      <c r="L27" s="7"/>
      <c r="M27" s="7"/>
      <c r="N27" s="7"/>
      <c r="O27" s="7">
        <v>0.2</v>
      </c>
      <c r="P27" s="7"/>
      <c r="Q27" s="259"/>
      <c r="R27" s="7"/>
      <c r="S27" s="33">
        <v>0.2</v>
      </c>
      <c r="T27" s="34">
        <v>1.1000000000000001</v>
      </c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2" s="13" customFormat="1" ht="18" customHeight="1">
      <c r="B28" s="7"/>
      <c r="C28" s="7"/>
      <c r="D28" s="7"/>
      <c r="E28" s="7"/>
      <c r="F28" s="7"/>
      <c r="G28" s="7"/>
      <c r="H28" s="7"/>
      <c r="I28" s="7"/>
      <c r="J28" s="260" t="s">
        <v>158</v>
      </c>
      <c r="K28" s="7" t="s">
        <v>159</v>
      </c>
      <c r="L28" s="7"/>
      <c r="M28" s="7">
        <v>4</v>
      </c>
      <c r="N28" s="7"/>
      <c r="O28" s="7"/>
      <c r="P28" s="7"/>
      <c r="Q28" s="7"/>
      <c r="R28" s="7"/>
      <c r="S28" s="33">
        <v>0.25</v>
      </c>
      <c r="T28" s="34">
        <v>1.35</v>
      </c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2" s="13" customFormat="1" ht="18" customHeight="1">
      <c r="B29" s="7"/>
      <c r="C29" s="7"/>
      <c r="D29" s="7"/>
      <c r="E29" s="7"/>
      <c r="F29" s="7"/>
      <c r="G29" s="7"/>
      <c r="H29" s="7"/>
      <c r="I29" s="7"/>
      <c r="J29" s="258" t="s">
        <v>160</v>
      </c>
      <c r="K29" s="7" t="s">
        <v>161</v>
      </c>
      <c r="L29" s="7"/>
      <c r="M29" s="258" t="s">
        <v>162</v>
      </c>
      <c r="N29" s="261">
        <v>0.28000000000000003</v>
      </c>
      <c r="O29" s="258" t="s">
        <v>163</v>
      </c>
      <c r="P29" s="261">
        <v>0.25</v>
      </c>
      <c r="S29" s="33">
        <v>0.28000000000000003</v>
      </c>
      <c r="T29" s="34">
        <v>1.65</v>
      </c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2" s="13" customFormat="1" ht="18" customHeight="1">
      <c r="B30" s="7"/>
      <c r="C30" s="7"/>
      <c r="D30" s="7"/>
      <c r="E30" s="7"/>
      <c r="F30" s="7"/>
      <c r="G30" s="7"/>
      <c r="H30" s="7"/>
      <c r="I30" s="7"/>
      <c r="J30" s="262" t="s">
        <v>164</v>
      </c>
      <c r="K30" s="263" t="s">
        <v>165</v>
      </c>
      <c r="L30" s="7"/>
      <c r="M30" s="258" t="s">
        <v>162</v>
      </c>
      <c r="N30" s="7" t="s">
        <v>166</v>
      </c>
      <c r="O30" s="258" t="s">
        <v>163</v>
      </c>
      <c r="P30" s="7" t="s">
        <v>167</v>
      </c>
      <c r="Q30" s="7" t="s">
        <v>168</v>
      </c>
      <c r="R30" s="7"/>
      <c r="S30" s="33">
        <v>0.45500000000000002</v>
      </c>
      <c r="T30" s="34">
        <v>2.0499999999999998</v>
      </c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2" s="13" customFormat="1" ht="18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34">
        <v>0.53</v>
      </c>
      <c r="T31" s="34">
        <v>2.5499999999999998</v>
      </c>
      <c r="U31" s="7"/>
      <c r="V31" s="7"/>
      <c r="W31" s="7"/>
      <c r="X31" s="7"/>
    </row>
    <row r="32" spans="1:32" s="13" customFormat="1" ht="18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39">
        <v>0.62</v>
      </c>
      <c r="T32" s="34">
        <v>3.2</v>
      </c>
      <c r="U32" s="7"/>
      <c r="V32" s="7"/>
      <c r="W32" s="7"/>
      <c r="X32" s="7"/>
    </row>
    <row r="33" spans="2:24" s="13" customFormat="1" ht="18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39">
        <v>0.72499999999999998</v>
      </c>
      <c r="T33" s="33">
        <v>4</v>
      </c>
      <c r="U33" s="7"/>
      <c r="V33" s="7"/>
      <c r="W33" s="7"/>
      <c r="X33" s="7"/>
    </row>
    <row r="34" spans="2:24" s="13" customFormat="1" ht="18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34">
        <v>0.89500000000000002</v>
      </c>
      <c r="T34" s="40"/>
      <c r="U34" s="7"/>
      <c r="V34" s="7"/>
      <c r="W34" s="7"/>
      <c r="X34" s="7"/>
    </row>
    <row r="35" spans="2:24" s="13" customFormat="1" ht="18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2:24" s="13" customFormat="1" ht="18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2:24" s="13" customFormat="1" ht="18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2:24" s="13" customFormat="1" ht="18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2:24" s="13" customFormat="1" ht="18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2:24" s="13" customFormat="1" ht="18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2:24" s="13" customFormat="1" ht="18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2:24" s="13" customFormat="1" ht="18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2:24" s="13" customFormat="1" ht="18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2:24" s="13" customFormat="1" ht="18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2:24" s="13" customFormat="1" ht="18" customHeight="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2:24" s="13" customFormat="1" ht="18" customHeight="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2:24" s="13" customFormat="1" ht="18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2:24" s="13" customFormat="1" ht="18" customHeight="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2:22" s="13" customFormat="1" ht="18" customHeight="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2:22" s="13" customFormat="1" ht="18" customHeight="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2:22" s="13" customFormat="1" ht="18" customHeight="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2:22" s="13" customFormat="1" ht="18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2:22" s="13" customFormat="1" ht="18" customHeigh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2:22" s="13" customFormat="1" ht="1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2:22" s="13" customFormat="1" ht="1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2:22" s="13" customFormat="1" ht="12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2:22" s="13" customFormat="1" ht="1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2:22" s="13" customFormat="1" ht="1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2:22" s="13" customFormat="1" ht="1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2:22" s="13" customFormat="1" ht="1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2:22" s="13" customFormat="1" ht="1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2:22" s="13" customFormat="1" ht="1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2:22" s="13" customFormat="1" ht="1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2:22" s="13" customFormat="1" ht="1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2:22" s="13" customFormat="1" ht="1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2:22" s="13" customFormat="1" ht="1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2:22" s="13" customFormat="1" ht="1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2:22" s="13" customFormat="1" ht="1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2:22" s="13" customFormat="1" ht="1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2:22" s="13" customFormat="1" ht="1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2:22" s="13" customFormat="1" ht="1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2:22" s="13" customFormat="1" ht="1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2:22" s="13" customFormat="1" ht="1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2:22" s="13" customFormat="1" ht="1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2:22" s="13" customFormat="1" ht="1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2:22" s="13" customFormat="1" ht="1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2:22" s="13" customFormat="1" ht="1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2:22" s="13" customFormat="1" ht="1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2:22" s="13" customFormat="1" ht="1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2:22" s="13" customFormat="1" ht="1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2:22" s="13" customFormat="1" ht="1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2:22" s="13" customFormat="1" ht="1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2:22" s="13" customFormat="1" ht="1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2:22" s="13" customFormat="1" ht="1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2:22" s="13" customFormat="1" ht="1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2:22" s="13" customFormat="1" ht="1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2:22" s="13" customFormat="1" ht="12">
      <c r="B87" s="307"/>
      <c r="C87" s="307"/>
      <c r="D87" s="307"/>
      <c r="E87" s="307"/>
      <c r="F87" s="307"/>
      <c r="G87" s="307"/>
      <c r="H87" s="308"/>
      <c r="I87" s="309"/>
      <c r="J87" s="309"/>
      <c r="K87" s="309"/>
      <c r="L87" s="310"/>
      <c r="M87" s="310"/>
      <c r="N87" s="310"/>
      <c r="O87" s="310"/>
      <c r="P87" s="310"/>
      <c r="Q87" s="311"/>
      <c r="R87" s="308"/>
      <c r="S87" s="309"/>
      <c r="T87" s="95"/>
      <c r="U87" s="96"/>
      <c r="V87" s="93"/>
    </row>
    <row r="88" spans="2:22" s="13" customFormat="1" ht="12">
      <c r="B88" s="307"/>
      <c r="C88" s="307"/>
      <c r="D88" s="307"/>
      <c r="E88" s="307"/>
      <c r="F88" s="307"/>
      <c r="G88" s="307"/>
      <c r="H88" s="308"/>
      <c r="I88" s="309"/>
      <c r="J88" s="309"/>
      <c r="K88" s="309"/>
      <c r="L88" s="310"/>
      <c r="M88" s="310"/>
      <c r="N88" s="310"/>
      <c r="O88" s="310"/>
      <c r="P88" s="310"/>
      <c r="Q88" s="311"/>
      <c r="R88" s="308"/>
      <c r="S88" s="309"/>
      <c r="T88" s="95"/>
      <c r="U88" s="96"/>
      <c r="V88" s="93"/>
    </row>
    <row r="89" spans="2:22" s="13" customFormat="1" ht="12">
      <c r="B89" s="307"/>
      <c r="C89" s="307"/>
      <c r="D89" s="307"/>
      <c r="E89" s="307"/>
      <c r="F89" s="307"/>
      <c r="G89" s="307"/>
      <c r="H89" s="308"/>
      <c r="I89" s="309"/>
      <c r="J89" s="309"/>
      <c r="K89" s="309"/>
      <c r="L89" s="310"/>
      <c r="M89" s="310"/>
      <c r="N89" s="310"/>
      <c r="O89" s="310"/>
      <c r="P89" s="310"/>
      <c r="Q89" s="311"/>
      <c r="R89" s="308"/>
      <c r="S89" s="309"/>
      <c r="T89" s="95"/>
      <c r="U89" s="96"/>
      <c r="V89" s="93"/>
    </row>
    <row r="90" spans="2:22" s="13" customFormat="1" ht="12">
      <c r="B90" s="307"/>
      <c r="C90" s="307"/>
      <c r="D90" s="307"/>
      <c r="E90" s="307"/>
      <c r="F90" s="307"/>
      <c r="G90" s="307"/>
      <c r="H90" s="308"/>
      <c r="I90" s="309"/>
      <c r="J90" s="309"/>
      <c r="K90" s="309"/>
      <c r="L90" s="310"/>
      <c r="M90" s="310"/>
      <c r="N90" s="310"/>
      <c r="O90" s="310"/>
      <c r="P90" s="310"/>
      <c r="Q90" s="311"/>
      <c r="R90" s="308"/>
      <c r="S90" s="309"/>
      <c r="T90" s="95"/>
      <c r="U90" s="96"/>
      <c r="V90" s="93"/>
    </row>
    <row r="91" spans="2:22" s="13" customFormat="1" ht="12">
      <c r="B91" s="307"/>
      <c r="C91" s="307"/>
      <c r="D91" s="307"/>
      <c r="E91" s="307"/>
      <c r="F91" s="307"/>
      <c r="G91" s="307"/>
      <c r="H91" s="308"/>
      <c r="I91" s="309"/>
      <c r="J91" s="309"/>
      <c r="K91" s="309"/>
      <c r="L91" s="310"/>
      <c r="M91" s="310"/>
      <c r="N91" s="310"/>
      <c r="O91" s="310"/>
      <c r="P91" s="310"/>
      <c r="Q91" s="311"/>
      <c r="R91" s="308"/>
      <c r="S91" s="309"/>
      <c r="T91" s="95"/>
      <c r="U91" s="96"/>
      <c r="V91" s="93"/>
    </row>
    <row r="92" spans="2:22" s="13" customFormat="1" ht="12">
      <c r="B92" s="307"/>
      <c r="C92" s="307"/>
      <c r="D92" s="307"/>
      <c r="E92" s="307"/>
      <c r="F92" s="307"/>
      <c r="G92" s="307"/>
      <c r="H92" s="308"/>
      <c r="I92" s="309"/>
      <c r="J92" s="309"/>
      <c r="K92" s="309"/>
      <c r="L92" s="310"/>
      <c r="M92" s="310"/>
      <c r="N92" s="310"/>
      <c r="O92" s="310"/>
      <c r="P92" s="310"/>
      <c r="Q92" s="311"/>
      <c r="R92" s="308"/>
      <c r="S92" s="309"/>
      <c r="T92" s="95"/>
      <c r="U92" s="96"/>
      <c r="V92" s="93"/>
    </row>
    <row r="93" spans="2:22" s="13" customFormat="1" ht="12">
      <c r="B93" s="307"/>
      <c r="C93" s="307"/>
      <c r="D93" s="307"/>
      <c r="E93" s="307"/>
      <c r="F93" s="307"/>
      <c r="G93" s="307"/>
      <c r="H93" s="308"/>
      <c r="I93" s="309"/>
      <c r="J93" s="309"/>
      <c r="K93" s="309"/>
      <c r="L93" s="310"/>
      <c r="M93" s="310"/>
      <c r="N93" s="310"/>
      <c r="O93" s="310"/>
      <c r="P93" s="310"/>
      <c r="Q93" s="311"/>
      <c r="R93" s="308"/>
      <c r="S93" s="309"/>
      <c r="T93" s="95"/>
      <c r="U93" s="96"/>
      <c r="V93" s="93"/>
    </row>
    <row r="94" spans="2:22" s="13" customFormat="1" ht="12">
      <c r="B94" s="307"/>
      <c r="C94" s="307"/>
      <c r="D94" s="307"/>
      <c r="E94" s="307"/>
      <c r="F94" s="307"/>
      <c r="G94" s="307"/>
      <c r="H94" s="308"/>
      <c r="I94" s="309"/>
      <c r="J94" s="309"/>
      <c r="K94" s="309"/>
      <c r="L94" s="310"/>
      <c r="M94" s="310"/>
      <c r="N94" s="310"/>
      <c r="O94" s="310"/>
      <c r="P94" s="310"/>
      <c r="Q94" s="311"/>
      <c r="R94" s="308"/>
      <c r="S94" s="309"/>
      <c r="T94" s="95"/>
      <c r="U94" s="96"/>
      <c r="V94" s="93"/>
    </row>
    <row r="95" spans="2:22" s="13" customFormat="1" ht="12">
      <c r="B95" s="307"/>
      <c r="C95" s="307"/>
      <c r="D95" s="307"/>
      <c r="E95" s="307"/>
      <c r="F95" s="307"/>
      <c r="G95" s="307"/>
      <c r="H95" s="308"/>
      <c r="I95" s="309"/>
      <c r="J95" s="309"/>
      <c r="K95" s="309"/>
      <c r="L95" s="310"/>
      <c r="M95" s="310"/>
      <c r="N95" s="310"/>
      <c r="O95" s="310"/>
      <c r="P95" s="310"/>
      <c r="Q95" s="311"/>
      <c r="R95" s="308"/>
      <c r="S95" s="309"/>
      <c r="T95" s="95"/>
      <c r="U95" s="96"/>
      <c r="V95" s="93"/>
    </row>
    <row r="96" spans="2:22" s="13" customFormat="1" ht="12">
      <c r="B96" s="307"/>
      <c r="C96" s="307"/>
      <c r="D96" s="307"/>
      <c r="E96" s="307"/>
      <c r="F96" s="307"/>
      <c r="G96" s="307"/>
      <c r="H96" s="308"/>
      <c r="I96" s="309"/>
      <c r="J96" s="309"/>
      <c r="K96" s="309"/>
      <c r="L96" s="310"/>
      <c r="M96" s="310"/>
      <c r="N96" s="310"/>
      <c r="O96" s="310"/>
      <c r="P96" s="310"/>
      <c r="Q96" s="311"/>
      <c r="R96" s="308"/>
      <c r="S96" s="309"/>
      <c r="T96" s="95"/>
      <c r="U96" s="96"/>
      <c r="V96" s="93"/>
    </row>
    <row r="97" spans="2:22" s="13" customFormat="1" ht="12">
      <c r="B97" s="307"/>
      <c r="C97" s="307"/>
      <c r="D97" s="307"/>
      <c r="E97" s="307"/>
      <c r="F97" s="307"/>
      <c r="G97" s="307"/>
      <c r="H97" s="308"/>
      <c r="I97" s="309"/>
      <c r="J97" s="309"/>
      <c r="K97" s="309"/>
      <c r="L97" s="310"/>
      <c r="M97" s="310"/>
      <c r="N97" s="310"/>
      <c r="O97" s="310"/>
      <c r="P97" s="310"/>
      <c r="Q97" s="311"/>
      <c r="R97" s="308"/>
      <c r="S97" s="309"/>
      <c r="T97" s="95"/>
      <c r="U97" s="96"/>
      <c r="V97" s="93"/>
    </row>
    <row r="98" spans="2:22" s="13" customFormat="1" ht="12">
      <c r="B98" s="307"/>
      <c r="C98" s="307"/>
      <c r="D98" s="307"/>
      <c r="E98" s="307"/>
      <c r="F98" s="307"/>
      <c r="G98" s="307"/>
      <c r="H98" s="308"/>
      <c r="I98" s="309"/>
      <c r="J98" s="309"/>
      <c r="K98" s="309"/>
      <c r="L98" s="310"/>
      <c r="M98" s="310"/>
      <c r="N98" s="310"/>
      <c r="O98" s="310"/>
      <c r="P98" s="310"/>
      <c r="Q98" s="311"/>
      <c r="R98" s="308"/>
      <c r="S98" s="309"/>
      <c r="T98" s="95"/>
      <c r="U98" s="96"/>
      <c r="V98" s="93"/>
    </row>
    <row r="99" spans="2:22" s="13" customFormat="1" ht="12">
      <c r="B99" s="307"/>
      <c r="C99" s="307"/>
      <c r="D99" s="307"/>
      <c r="E99" s="307"/>
      <c r="F99" s="307"/>
      <c r="G99" s="307"/>
      <c r="H99" s="308"/>
      <c r="I99" s="309"/>
      <c r="J99" s="309"/>
      <c r="K99" s="309"/>
      <c r="L99" s="310"/>
      <c r="M99" s="310"/>
      <c r="N99" s="310"/>
      <c r="O99" s="310"/>
      <c r="P99" s="310"/>
      <c r="Q99" s="311"/>
      <c r="R99" s="308"/>
      <c r="S99" s="309"/>
      <c r="T99" s="95"/>
      <c r="U99" s="96"/>
      <c r="V99" s="93"/>
    </row>
    <row r="100" spans="2:22" s="13" customFormat="1" ht="12">
      <c r="B100" s="307"/>
      <c r="C100" s="307"/>
      <c r="D100" s="307"/>
      <c r="E100" s="307"/>
      <c r="F100" s="307"/>
      <c r="G100" s="307"/>
      <c r="H100" s="308"/>
      <c r="I100" s="309"/>
      <c r="J100" s="309"/>
      <c r="K100" s="309"/>
      <c r="L100" s="310"/>
      <c r="M100" s="310"/>
      <c r="N100" s="310"/>
      <c r="O100" s="310"/>
      <c r="P100" s="310"/>
      <c r="Q100" s="311"/>
      <c r="R100" s="308"/>
      <c r="S100" s="309"/>
      <c r="T100" s="95"/>
      <c r="U100" s="96"/>
      <c r="V100" s="93"/>
    </row>
    <row r="101" spans="2:22" s="13" customFormat="1" ht="12">
      <c r="B101" s="307"/>
      <c r="C101" s="307"/>
      <c r="D101" s="307"/>
      <c r="E101" s="307"/>
      <c r="F101" s="307"/>
      <c r="G101" s="307"/>
      <c r="H101" s="308"/>
      <c r="I101" s="309"/>
      <c r="J101" s="309"/>
      <c r="K101" s="309"/>
      <c r="L101" s="310"/>
      <c r="M101" s="310"/>
      <c r="N101" s="310"/>
      <c r="O101" s="310"/>
      <c r="P101" s="310"/>
      <c r="Q101" s="311"/>
      <c r="R101" s="308"/>
      <c r="S101" s="309"/>
      <c r="T101" s="95"/>
      <c r="U101" s="96"/>
      <c r="V101" s="93"/>
    </row>
    <row r="102" spans="2:22" s="13" customFormat="1" ht="12">
      <c r="B102" s="307"/>
      <c r="C102" s="307"/>
      <c r="D102" s="307"/>
      <c r="E102" s="307"/>
      <c r="F102" s="307"/>
      <c r="G102" s="307"/>
      <c r="H102" s="308"/>
      <c r="I102" s="309"/>
      <c r="J102" s="309"/>
      <c r="K102" s="309"/>
      <c r="L102" s="310"/>
      <c r="M102" s="310"/>
      <c r="N102" s="310"/>
      <c r="O102" s="310"/>
      <c r="P102" s="310"/>
      <c r="Q102" s="311"/>
      <c r="R102" s="308"/>
      <c r="S102" s="309"/>
      <c r="T102" s="95"/>
      <c r="U102" s="96"/>
      <c r="V102" s="93"/>
    </row>
    <row r="103" spans="2:22" s="13" customFormat="1" ht="12">
      <c r="B103" s="312"/>
      <c r="C103" s="312"/>
      <c r="D103" s="312"/>
      <c r="E103" s="312"/>
      <c r="F103" s="312"/>
      <c r="G103" s="312"/>
      <c r="H103" s="31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5"/>
      <c r="U103" s="96"/>
      <c r="V103" s="93"/>
    </row>
    <row r="104" spans="2:22" s="13" customFormat="1" ht="12">
      <c r="B104" s="307"/>
      <c r="C104" s="307"/>
      <c r="D104" s="307"/>
      <c r="E104" s="307"/>
      <c r="F104" s="307"/>
      <c r="G104" s="307"/>
      <c r="H104" s="308"/>
      <c r="I104" s="311"/>
      <c r="J104" s="311"/>
      <c r="K104" s="311"/>
      <c r="L104" s="313"/>
      <c r="M104" s="313"/>
      <c r="N104" s="313"/>
      <c r="O104" s="313"/>
      <c r="P104" s="313"/>
      <c r="Q104" s="311"/>
      <c r="R104" s="313"/>
      <c r="S104" s="311"/>
      <c r="T104" s="95"/>
      <c r="U104" s="96"/>
      <c r="V104" s="93"/>
    </row>
    <row r="105" spans="2:22" s="13" customFormat="1" ht="12">
      <c r="B105" s="312"/>
      <c r="C105" s="312"/>
      <c r="D105" s="312"/>
      <c r="E105" s="312"/>
      <c r="F105" s="312"/>
      <c r="G105" s="312"/>
      <c r="H105" s="31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5"/>
      <c r="U105" s="96"/>
      <c r="V105" s="93"/>
    </row>
    <row r="106" spans="2:22" s="13" customFormat="1" ht="12">
      <c r="B106" s="307"/>
      <c r="C106" s="307"/>
      <c r="D106" s="307"/>
      <c r="E106" s="307"/>
      <c r="F106" s="307"/>
      <c r="G106" s="307"/>
      <c r="H106" s="308"/>
      <c r="I106" s="311"/>
      <c r="J106" s="311"/>
      <c r="K106" s="311"/>
      <c r="L106" s="310"/>
      <c r="M106" s="310"/>
      <c r="N106" s="310"/>
      <c r="O106" s="310"/>
      <c r="P106" s="310"/>
      <c r="Q106" s="311"/>
      <c r="R106" s="308"/>
      <c r="S106" s="309"/>
      <c r="T106" s="95"/>
      <c r="U106" s="96"/>
      <c r="V106" s="93"/>
    </row>
    <row r="107" spans="2:22" s="13" customFormat="1" ht="12">
      <c r="B107" s="307"/>
      <c r="C107" s="307"/>
      <c r="D107" s="307"/>
      <c r="E107" s="307"/>
      <c r="F107" s="307"/>
      <c r="G107" s="307"/>
      <c r="H107" s="308"/>
      <c r="I107" s="309"/>
      <c r="J107" s="309"/>
      <c r="K107" s="309"/>
      <c r="L107" s="310"/>
      <c r="M107" s="310"/>
      <c r="N107" s="310"/>
      <c r="O107" s="310"/>
      <c r="P107" s="310"/>
      <c r="Q107" s="311"/>
      <c r="R107" s="308"/>
      <c r="S107" s="309"/>
      <c r="T107" s="95"/>
      <c r="U107" s="96"/>
      <c r="V107" s="93"/>
    </row>
    <row r="108" spans="2:22" s="13" customFormat="1" ht="12">
      <c r="B108" s="307"/>
      <c r="C108" s="307"/>
      <c r="D108" s="307"/>
      <c r="E108" s="307"/>
      <c r="F108" s="307"/>
      <c r="G108" s="307"/>
      <c r="H108" s="308"/>
      <c r="I108" s="314"/>
      <c r="J108" s="314"/>
      <c r="K108" s="314"/>
      <c r="L108" s="308"/>
      <c r="M108" s="308"/>
      <c r="N108" s="308"/>
      <c r="O108" s="308"/>
      <c r="P108" s="310"/>
      <c r="Q108" s="311"/>
      <c r="R108" s="308"/>
      <c r="S108" s="314"/>
      <c r="T108" s="95"/>
      <c r="U108" s="96"/>
      <c r="V108" s="93"/>
    </row>
    <row r="109" spans="2:22" s="13" customFormat="1" ht="12">
      <c r="B109" s="307"/>
      <c r="C109" s="307"/>
      <c r="D109" s="307"/>
      <c r="E109" s="307"/>
      <c r="F109" s="307"/>
      <c r="G109" s="307"/>
      <c r="H109" s="308"/>
      <c r="I109" s="314"/>
      <c r="J109" s="314"/>
      <c r="K109" s="314"/>
      <c r="L109" s="308"/>
      <c r="M109" s="308"/>
      <c r="N109" s="308"/>
      <c r="O109" s="308"/>
      <c r="P109" s="310"/>
      <c r="Q109" s="311"/>
      <c r="R109" s="308"/>
      <c r="S109" s="314"/>
      <c r="T109" s="95"/>
      <c r="U109" s="96"/>
      <c r="V109" s="93"/>
    </row>
    <row r="110" spans="2:22" s="13" customFormat="1" ht="12">
      <c r="B110" s="307"/>
      <c r="C110" s="307"/>
      <c r="D110" s="307"/>
      <c r="E110" s="307"/>
      <c r="F110" s="307"/>
      <c r="G110" s="307"/>
      <c r="H110" s="308"/>
      <c r="I110" s="314"/>
      <c r="J110" s="314"/>
      <c r="K110" s="314"/>
      <c r="L110" s="308"/>
      <c r="M110" s="308"/>
      <c r="N110" s="308"/>
      <c r="O110" s="308"/>
      <c r="P110" s="310"/>
      <c r="Q110" s="311"/>
      <c r="R110" s="308"/>
      <c r="S110" s="314"/>
      <c r="T110" s="95"/>
      <c r="U110" s="96"/>
      <c r="V110" s="93"/>
    </row>
    <row r="111" spans="2:22" s="13" customFormat="1" ht="12">
      <c r="B111" s="307"/>
      <c r="C111" s="307"/>
      <c r="D111" s="307"/>
      <c r="E111" s="307"/>
      <c r="F111" s="307"/>
      <c r="G111" s="307"/>
      <c r="H111" s="308"/>
      <c r="I111" s="314"/>
      <c r="J111" s="314"/>
      <c r="K111" s="314"/>
      <c r="L111" s="308"/>
      <c r="M111" s="308"/>
      <c r="N111" s="308"/>
      <c r="O111" s="308"/>
      <c r="P111" s="310"/>
      <c r="Q111" s="311"/>
      <c r="R111" s="308"/>
      <c r="S111" s="314"/>
      <c r="T111" s="95"/>
      <c r="U111" s="96"/>
      <c r="V111" s="93"/>
    </row>
    <row r="112" spans="2:22" s="13" customFormat="1" ht="12">
      <c r="B112" s="307"/>
      <c r="C112" s="307"/>
      <c r="D112" s="307"/>
      <c r="E112" s="307"/>
      <c r="F112" s="307"/>
      <c r="G112" s="307"/>
      <c r="H112" s="308"/>
      <c r="I112" s="314"/>
      <c r="J112" s="314"/>
      <c r="K112" s="314"/>
      <c r="L112" s="308"/>
      <c r="M112" s="308"/>
      <c r="N112" s="308"/>
      <c r="O112" s="308"/>
      <c r="P112" s="310"/>
      <c r="Q112" s="311"/>
      <c r="R112" s="308"/>
      <c r="S112" s="314"/>
      <c r="T112" s="95"/>
      <c r="U112" s="96"/>
      <c r="V112" s="93"/>
    </row>
    <row r="113" spans="2:22" s="13" customFormat="1" ht="12">
      <c r="B113" s="307"/>
      <c r="C113" s="307"/>
      <c r="D113" s="307"/>
      <c r="E113" s="307"/>
      <c r="F113" s="307"/>
      <c r="G113" s="307"/>
      <c r="H113" s="308"/>
      <c r="I113" s="314"/>
      <c r="J113" s="314"/>
      <c r="K113" s="314"/>
      <c r="L113" s="308"/>
      <c r="M113" s="308"/>
      <c r="N113" s="308"/>
      <c r="O113" s="308"/>
      <c r="P113" s="310"/>
      <c r="Q113" s="311"/>
      <c r="R113" s="308"/>
      <c r="S113" s="314"/>
      <c r="T113" s="95"/>
      <c r="U113" s="96"/>
      <c r="V113" s="93"/>
    </row>
    <row r="114" spans="2:22" s="13" customFormat="1" ht="12">
      <c r="B114" s="307"/>
      <c r="C114" s="307"/>
      <c r="D114" s="307"/>
      <c r="E114" s="307"/>
      <c r="F114" s="307"/>
      <c r="G114" s="307"/>
      <c r="H114" s="308"/>
      <c r="I114" s="314"/>
      <c r="J114" s="314"/>
      <c r="K114" s="314"/>
      <c r="L114" s="308"/>
      <c r="M114" s="308"/>
      <c r="N114" s="308"/>
      <c r="O114" s="308"/>
      <c r="P114" s="310"/>
      <c r="Q114" s="311"/>
      <c r="R114" s="308"/>
      <c r="S114" s="314"/>
      <c r="T114" s="95"/>
      <c r="U114" s="96"/>
      <c r="V114" s="93"/>
    </row>
    <row r="115" spans="2:22" s="13" customFormat="1" ht="12">
      <c r="B115" s="307"/>
      <c r="C115" s="307"/>
      <c r="D115" s="307"/>
      <c r="E115" s="307"/>
      <c r="F115" s="307"/>
      <c r="G115" s="307"/>
      <c r="H115" s="308"/>
      <c r="I115" s="314"/>
      <c r="J115" s="314"/>
      <c r="K115" s="314"/>
      <c r="L115" s="308"/>
      <c r="M115" s="308"/>
      <c r="N115" s="308"/>
      <c r="O115" s="308"/>
      <c r="P115" s="310"/>
      <c r="Q115" s="311"/>
      <c r="R115" s="308"/>
      <c r="S115" s="314"/>
      <c r="T115" s="95"/>
      <c r="U115" s="96"/>
      <c r="V115" s="93"/>
    </row>
    <row r="116" spans="2:22" s="13" customFormat="1" ht="12">
      <c r="B116" s="307"/>
      <c r="C116" s="307"/>
      <c r="D116" s="307"/>
      <c r="E116" s="307"/>
      <c r="F116" s="307"/>
      <c r="G116" s="307"/>
      <c r="H116" s="308"/>
      <c r="I116" s="314"/>
      <c r="J116" s="314"/>
      <c r="K116" s="314"/>
      <c r="L116" s="308"/>
      <c r="M116" s="308"/>
      <c r="N116" s="308"/>
      <c r="O116" s="308"/>
      <c r="P116" s="310"/>
      <c r="Q116" s="311"/>
      <c r="R116" s="308"/>
      <c r="S116" s="314"/>
      <c r="T116" s="95"/>
      <c r="U116" s="96"/>
      <c r="V116" s="93"/>
    </row>
    <row r="117" spans="2:22" s="13" customFormat="1" ht="12">
      <c r="B117" s="307"/>
      <c r="C117" s="307"/>
      <c r="D117" s="307"/>
      <c r="E117" s="307"/>
      <c r="F117" s="307"/>
      <c r="G117" s="307"/>
      <c r="H117" s="308"/>
      <c r="I117" s="314"/>
      <c r="J117" s="314"/>
      <c r="K117" s="314"/>
      <c r="L117" s="308"/>
      <c r="M117" s="308"/>
      <c r="N117" s="308"/>
      <c r="O117" s="308"/>
      <c r="P117" s="310"/>
      <c r="Q117" s="311"/>
      <c r="R117" s="308"/>
      <c r="S117" s="314"/>
      <c r="T117" s="95"/>
      <c r="U117" s="96"/>
      <c r="V117" s="93"/>
    </row>
    <row r="118" spans="2:22" s="13" customFormat="1" ht="12">
      <c r="B118" s="307"/>
      <c r="C118" s="307"/>
      <c r="D118" s="307"/>
      <c r="E118" s="307"/>
      <c r="F118" s="307"/>
      <c r="G118" s="307"/>
      <c r="H118" s="308"/>
      <c r="I118" s="314"/>
      <c r="J118" s="314"/>
      <c r="K118" s="314"/>
      <c r="L118" s="308"/>
      <c r="M118" s="308"/>
      <c r="N118" s="308"/>
      <c r="O118" s="308"/>
      <c r="P118" s="310"/>
      <c r="Q118" s="311"/>
      <c r="R118" s="308"/>
      <c r="S118" s="314"/>
      <c r="T118" s="95"/>
      <c r="U118" s="96"/>
      <c r="V118" s="93"/>
    </row>
    <row r="119" spans="2:22" s="13" customFormat="1" ht="12">
      <c r="B119" s="307"/>
      <c r="C119" s="307"/>
      <c r="D119" s="307"/>
      <c r="E119" s="307"/>
      <c r="F119" s="307"/>
      <c r="G119" s="307"/>
      <c r="H119" s="308"/>
      <c r="I119" s="314"/>
      <c r="J119" s="314"/>
      <c r="K119" s="314"/>
      <c r="L119" s="308"/>
      <c r="M119" s="308"/>
      <c r="N119" s="308"/>
      <c r="O119" s="308"/>
      <c r="P119" s="310"/>
      <c r="Q119" s="311"/>
      <c r="R119" s="308"/>
      <c r="S119" s="314"/>
      <c r="T119" s="95"/>
      <c r="U119" s="96"/>
      <c r="V119" s="93"/>
    </row>
    <row r="120" spans="2:22" s="13" customFormat="1" ht="12">
      <c r="B120" s="307"/>
      <c r="C120" s="307"/>
      <c r="D120" s="307"/>
      <c r="E120" s="307"/>
      <c r="F120" s="307"/>
      <c r="G120" s="307"/>
      <c r="H120" s="308"/>
      <c r="I120" s="314"/>
      <c r="J120" s="314"/>
      <c r="K120" s="314"/>
      <c r="L120" s="308"/>
      <c r="M120" s="308"/>
      <c r="N120" s="308"/>
      <c r="O120" s="308"/>
      <c r="P120" s="310"/>
      <c r="Q120" s="311"/>
      <c r="R120" s="308"/>
      <c r="S120" s="314"/>
      <c r="T120" s="95"/>
      <c r="U120" s="96"/>
      <c r="V120" s="93"/>
    </row>
    <row r="121" spans="2:22" s="13" customFormat="1" ht="12">
      <c r="B121" s="254"/>
      <c r="C121" s="254"/>
      <c r="D121" s="254"/>
      <c r="E121" s="254"/>
      <c r="F121" s="254"/>
      <c r="G121" s="254"/>
      <c r="H121" s="92"/>
      <c r="I121" s="93"/>
      <c r="J121" s="93"/>
      <c r="K121" s="93"/>
      <c r="L121" s="93"/>
      <c r="M121" s="93"/>
      <c r="N121" s="93"/>
      <c r="O121" s="93"/>
      <c r="P121" s="94"/>
      <c r="Q121" s="93"/>
      <c r="R121" s="93"/>
      <c r="S121" s="93"/>
      <c r="T121" s="95"/>
      <c r="U121" s="96"/>
      <c r="V121" s="93"/>
    </row>
    <row r="122" spans="2:22" s="13" customFormat="1" ht="12">
      <c r="B122" s="254"/>
      <c r="C122" s="254"/>
      <c r="D122" s="254"/>
      <c r="E122" s="254"/>
      <c r="F122" s="254"/>
      <c r="G122" s="254"/>
      <c r="H122" s="92"/>
      <c r="I122" s="93"/>
      <c r="J122" s="93"/>
      <c r="K122" s="93"/>
      <c r="L122" s="93"/>
      <c r="M122" s="93"/>
      <c r="N122" s="93"/>
      <c r="O122" s="93"/>
      <c r="P122" s="94"/>
      <c r="Q122" s="93"/>
      <c r="R122" s="93"/>
      <c r="S122" s="93"/>
      <c r="T122" s="95"/>
      <c r="U122" s="96"/>
      <c r="V122" s="93"/>
    </row>
    <row r="123" spans="2:22" s="13" customFormat="1" ht="12">
      <c r="B123" s="254"/>
      <c r="C123" s="254"/>
      <c r="D123" s="254"/>
      <c r="E123" s="254"/>
      <c r="F123" s="254"/>
      <c r="G123" s="254"/>
      <c r="H123" s="92"/>
      <c r="I123" s="93"/>
      <c r="J123" s="93"/>
      <c r="K123" s="93"/>
      <c r="L123" s="93"/>
      <c r="M123" s="93"/>
      <c r="N123" s="93"/>
      <c r="O123" s="93"/>
      <c r="P123" s="94"/>
      <c r="Q123" s="93"/>
      <c r="R123" s="93"/>
      <c r="S123" s="93"/>
      <c r="T123" s="95"/>
      <c r="U123" s="96"/>
      <c r="V123" s="93"/>
    </row>
    <row r="124" spans="2:22" s="13" customFormat="1" ht="12">
      <c r="B124" s="254"/>
      <c r="C124" s="254"/>
      <c r="D124" s="254"/>
      <c r="E124" s="254"/>
      <c r="F124" s="254"/>
      <c r="G124" s="254"/>
      <c r="H124" s="92"/>
      <c r="I124" s="93"/>
      <c r="J124" s="93"/>
      <c r="K124" s="93"/>
      <c r="L124" s="93"/>
      <c r="M124" s="93"/>
      <c r="N124" s="93"/>
      <c r="O124" s="93"/>
      <c r="P124" s="94"/>
      <c r="Q124" s="93"/>
      <c r="R124" s="93"/>
      <c r="S124" s="93"/>
      <c r="T124" s="95"/>
      <c r="U124" s="96"/>
      <c r="V124" s="93"/>
    </row>
    <row r="125" spans="2:22" s="13" customFormat="1" ht="12">
      <c r="B125" s="254"/>
      <c r="C125" s="254"/>
      <c r="D125" s="254"/>
      <c r="E125" s="254"/>
      <c r="F125" s="254"/>
      <c r="G125" s="254"/>
      <c r="H125" s="92"/>
      <c r="I125" s="93"/>
      <c r="J125" s="93"/>
      <c r="K125" s="93"/>
      <c r="L125" s="93"/>
      <c r="M125" s="93"/>
      <c r="N125" s="93"/>
      <c r="O125" s="93"/>
      <c r="P125" s="94"/>
      <c r="Q125" s="93"/>
      <c r="R125" s="93"/>
      <c r="S125" s="93"/>
      <c r="T125" s="95"/>
      <c r="U125" s="96"/>
      <c r="V125" s="93"/>
    </row>
    <row r="126" spans="2:22" s="13" customFormat="1" ht="12">
      <c r="B126" s="254"/>
      <c r="C126" s="254"/>
      <c r="D126" s="254"/>
      <c r="E126" s="254"/>
      <c r="F126" s="254"/>
      <c r="G126" s="254"/>
      <c r="H126" s="92"/>
      <c r="I126" s="93"/>
      <c r="J126" s="93"/>
      <c r="K126" s="93"/>
      <c r="L126" s="93"/>
      <c r="M126" s="93"/>
      <c r="N126" s="93"/>
      <c r="O126" s="93"/>
      <c r="P126" s="94"/>
      <c r="Q126" s="93"/>
      <c r="R126" s="93"/>
      <c r="S126" s="93"/>
      <c r="T126" s="95"/>
      <c r="U126" s="96"/>
      <c r="V126" s="93"/>
    </row>
    <row r="127" spans="2:22" s="13" customFormat="1" ht="12">
      <c r="B127" s="254"/>
      <c r="C127" s="254"/>
      <c r="D127" s="254"/>
      <c r="E127" s="254"/>
      <c r="F127" s="254"/>
      <c r="G127" s="254"/>
      <c r="H127" s="92"/>
      <c r="I127" s="93"/>
      <c r="J127" s="93"/>
      <c r="K127" s="93"/>
      <c r="L127" s="93"/>
      <c r="M127" s="93"/>
      <c r="N127" s="93"/>
      <c r="O127" s="93"/>
      <c r="P127" s="94"/>
      <c r="Q127" s="93"/>
      <c r="R127" s="93"/>
      <c r="S127" s="93"/>
      <c r="T127" s="95"/>
      <c r="U127" s="96"/>
      <c r="V127" s="93"/>
    </row>
    <row r="128" spans="2:22" s="13" customFormat="1" ht="12">
      <c r="B128" s="254"/>
      <c r="C128" s="254"/>
      <c r="D128" s="254"/>
      <c r="E128" s="254"/>
      <c r="F128" s="254"/>
      <c r="G128" s="254"/>
      <c r="H128" s="92"/>
      <c r="I128" s="93"/>
      <c r="J128" s="93"/>
      <c r="K128" s="93"/>
      <c r="L128" s="93"/>
      <c r="M128" s="93"/>
      <c r="N128" s="93"/>
      <c r="O128" s="93"/>
      <c r="P128" s="94"/>
      <c r="Q128" s="93"/>
      <c r="R128" s="93"/>
      <c r="S128" s="93"/>
      <c r="T128" s="95"/>
      <c r="U128" s="96"/>
      <c r="V128" s="93"/>
    </row>
    <row r="129" spans="2:22" s="13" customFormat="1" ht="12">
      <c r="B129" s="254"/>
      <c r="C129" s="254"/>
      <c r="D129" s="254"/>
      <c r="E129" s="254"/>
      <c r="F129" s="254"/>
      <c r="G129" s="254"/>
      <c r="H129" s="92"/>
      <c r="I129" s="93"/>
      <c r="J129" s="93"/>
      <c r="K129" s="93"/>
      <c r="L129" s="93"/>
      <c r="M129" s="93"/>
      <c r="N129" s="93"/>
      <c r="O129" s="93"/>
      <c r="P129" s="94"/>
      <c r="Q129" s="93"/>
      <c r="R129" s="93"/>
      <c r="S129" s="93"/>
      <c r="T129" s="95"/>
      <c r="U129" s="96"/>
      <c r="V129" s="93"/>
    </row>
  </sheetData>
  <mergeCells count="38">
    <mergeCell ref="B2:V2"/>
    <mergeCell ref="B3:I3"/>
    <mergeCell ref="B4:C4"/>
    <mergeCell ref="D4:E4"/>
    <mergeCell ref="F4:G4"/>
    <mergeCell ref="H4:I4"/>
    <mergeCell ref="J4:K4"/>
    <mergeCell ref="L4:M4"/>
    <mergeCell ref="N4:O4"/>
    <mergeCell ref="P4:P5"/>
    <mergeCell ref="B11:C11"/>
    <mergeCell ref="Q4:Q5"/>
    <mergeCell ref="R4:R5"/>
    <mergeCell ref="S4:S5"/>
    <mergeCell ref="B5:C5"/>
    <mergeCell ref="D5:E5"/>
    <mergeCell ref="F5:G5"/>
    <mergeCell ref="H5:I5"/>
    <mergeCell ref="J5:K5"/>
    <mergeCell ref="L5:M5"/>
    <mergeCell ref="N5:O5"/>
    <mergeCell ref="B6:C6"/>
    <mergeCell ref="B7:C7"/>
    <mergeCell ref="B8:C8"/>
    <mergeCell ref="B9:C9"/>
    <mergeCell ref="B10:C10"/>
    <mergeCell ref="S26:T26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L23:L24"/>
    <mergeCell ref="M23:O24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X56"/>
  <sheetViews>
    <sheetView topLeftCell="A2" zoomScale="90" zoomScaleNormal="90" zoomScaleSheetLayoutView="100" workbookViewId="0">
      <selection activeCell="M23" sqref="M23:N23"/>
    </sheetView>
  </sheetViews>
  <sheetFormatPr defaultRowHeight="15"/>
  <cols>
    <col min="1" max="1" width="1.140625" style="51" customWidth="1"/>
    <col min="2" max="29" width="7.5703125" style="51" customWidth="1"/>
    <col min="30" max="38" width="7.140625" style="51" customWidth="1"/>
    <col min="39" max="39" width="4.42578125" style="51" customWidth="1"/>
    <col min="40" max="40" width="7.140625" style="51" customWidth="1"/>
    <col min="41" max="41" width="1.42578125" style="51" customWidth="1"/>
    <col min="48" max="276" width="9.140625" style="51"/>
    <col min="277" max="277" width="1.140625" style="51" customWidth="1"/>
    <col min="278" max="278" width="7.5703125" style="51" customWidth="1"/>
    <col min="279" max="293" width="7.140625" style="51" customWidth="1"/>
    <col min="294" max="295" width="1.42578125" style="51" customWidth="1"/>
    <col min="296" max="296" width="6.42578125" style="51" customWidth="1"/>
    <col min="297" max="298" width="8.7109375" style="51" bestFit="1" customWidth="1"/>
    <col min="299" max="532" width="9.140625" style="51"/>
    <col min="533" max="533" width="1.140625" style="51" customWidth="1"/>
    <col min="534" max="534" width="7.5703125" style="51" customWidth="1"/>
    <col min="535" max="549" width="7.140625" style="51" customWidth="1"/>
    <col min="550" max="551" width="1.42578125" style="51" customWidth="1"/>
    <col min="552" max="552" width="6.42578125" style="51" customWidth="1"/>
    <col min="553" max="554" width="8.7109375" style="51" bestFit="1" customWidth="1"/>
    <col min="555" max="788" width="9.140625" style="51"/>
    <col min="789" max="789" width="1.140625" style="51" customWidth="1"/>
    <col min="790" max="790" width="7.5703125" style="51" customWidth="1"/>
    <col min="791" max="805" width="7.140625" style="51" customWidth="1"/>
    <col min="806" max="807" width="1.42578125" style="51" customWidth="1"/>
    <col min="808" max="808" width="6.42578125" style="51" customWidth="1"/>
    <col min="809" max="810" width="8.7109375" style="51" bestFit="1" customWidth="1"/>
    <col min="811" max="1044" width="9.140625" style="51"/>
    <col min="1045" max="1045" width="1.140625" style="51" customWidth="1"/>
    <col min="1046" max="1046" width="7.5703125" style="51" customWidth="1"/>
    <col min="1047" max="1061" width="7.140625" style="51" customWidth="1"/>
    <col min="1062" max="1063" width="1.42578125" style="51" customWidth="1"/>
    <col min="1064" max="1064" width="6.42578125" style="51" customWidth="1"/>
    <col min="1065" max="1066" width="8.7109375" style="51" bestFit="1" customWidth="1"/>
    <col min="1067" max="1300" width="9.140625" style="51"/>
    <col min="1301" max="1301" width="1.140625" style="51" customWidth="1"/>
    <col min="1302" max="1302" width="7.5703125" style="51" customWidth="1"/>
    <col min="1303" max="1317" width="7.140625" style="51" customWidth="1"/>
    <col min="1318" max="1319" width="1.42578125" style="51" customWidth="1"/>
    <col min="1320" max="1320" width="6.42578125" style="51" customWidth="1"/>
    <col min="1321" max="1322" width="8.7109375" style="51" bestFit="1" customWidth="1"/>
    <col min="1323" max="1556" width="9.140625" style="51"/>
    <col min="1557" max="1557" width="1.140625" style="51" customWidth="1"/>
    <col min="1558" max="1558" width="7.5703125" style="51" customWidth="1"/>
    <col min="1559" max="1573" width="7.140625" style="51" customWidth="1"/>
    <col min="1574" max="1575" width="1.42578125" style="51" customWidth="1"/>
    <col min="1576" max="1576" width="6.42578125" style="51" customWidth="1"/>
    <col min="1577" max="1578" width="8.7109375" style="51" bestFit="1" customWidth="1"/>
    <col min="1579" max="1812" width="9.140625" style="51"/>
    <col min="1813" max="1813" width="1.140625" style="51" customWidth="1"/>
    <col min="1814" max="1814" width="7.5703125" style="51" customWidth="1"/>
    <col min="1815" max="1829" width="7.140625" style="51" customWidth="1"/>
    <col min="1830" max="1831" width="1.42578125" style="51" customWidth="1"/>
    <col min="1832" max="1832" width="6.42578125" style="51" customWidth="1"/>
    <col min="1833" max="1834" width="8.7109375" style="51" bestFit="1" customWidth="1"/>
    <col min="1835" max="2068" width="9.140625" style="51"/>
    <col min="2069" max="2069" width="1.140625" style="51" customWidth="1"/>
    <col min="2070" max="2070" width="7.5703125" style="51" customWidth="1"/>
    <col min="2071" max="2085" width="7.140625" style="51" customWidth="1"/>
    <col min="2086" max="2087" width="1.42578125" style="51" customWidth="1"/>
    <col min="2088" max="2088" width="6.42578125" style="51" customWidth="1"/>
    <col min="2089" max="2090" width="8.7109375" style="51" bestFit="1" customWidth="1"/>
    <col min="2091" max="2324" width="9.140625" style="51"/>
    <col min="2325" max="2325" width="1.140625" style="51" customWidth="1"/>
    <col min="2326" max="2326" width="7.5703125" style="51" customWidth="1"/>
    <col min="2327" max="2341" width="7.140625" style="51" customWidth="1"/>
    <col min="2342" max="2343" width="1.42578125" style="51" customWidth="1"/>
    <col min="2344" max="2344" width="6.42578125" style="51" customWidth="1"/>
    <col min="2345" max="2346" width="8.7109375" style="51" bestFit="1" customWidth="1"/>
    <col min="2347" max="2580" width="9.140625" style="51"/>
    <col min="2581" max="2581" width="1.140625" style="51" customWidth="1"/>
    <col min="2582" max="2582" width="7.5703125" style="51" customWidth="1"/>
    <col min="2583" max="2597" width="7.140625" style="51" customWidth="1"/>
    <col min="2598" max="2599" width="1.42578125" style="51" customWidth="1"/>
    <col min="2600" max="2600" width="6.42578125" style="51" customWidth="1"/>
    <col min="2601" max="2602" width="8.7109375" style="51" bestFit="1" customWidth="1"/>
    <col min="2603" max="2836" width="9.140625" style="51"/>
    <col min="2837" max="2837" width="1.140625" style="51" customWidth="1"/>
    <col min="2838" max="2838" width="7.5703125" style="51" customWidth="1"/>
    <col min="2839" max="2853" width="7.140625" style="51" customWidth="1"/>
    <col min="2854" max="2855" width="1.42578125" style="51" customWidth="1"/>
    <col min="2856" max="2856" width="6.42578125" style="51" customWidth="1"/>
    <col min="2857" max="2858" width="8.7109375" style="51" bestFit="1" customWidth="1"/>
    <col min="2859" max="3092" width="9.140625" style="51"/>
    <col min="3093" max="3093" width="1.140625" style="51" customWidth="1"/>
    <col min="3094" max="3094" width="7.5703125" style="51" customWidth="1"/>
    <col min="3095" max="3109" width="7.140625" style="51" customWidth="1"/>
    <col min="3110" max="3111" width="1.42578125" style="51" customWidth="1"/>
    <col min="3112" max="3112" width="6.42578125" style="51" customWidth="1"/>
    <col min="3113" max="3114" width="8.7109375" style="51" bestFit="1" customWidth="1"/>
    <col min="3115" max="3348" width="9.140625" style="51"/>
    <col min="3349" max="3349" width="1.140625" style="51" customWidth="1"/>
    <col min="3350" max="3350" width="7.5703125" style="51" customWidth="1"/>
    <col min="3351" max="3365" width="7.140625" style="51" customWidth="1"/>
    <col min="3366" max="3367" width="1.42578125" style="51" customWidth="1"/>
    <col min="3368" max="3368" width="6.42578125" style="51" customWidth="1"/>
    <col min="3369" max="3370" width="8.7109375" style="51" bestFit="1" customWidth="1"/>
    <col min="3371" max="3604" width="9.140625" style="51"/>
    <col min="3605" max="3605" width="1.140625" style="51" customWidth="1"/>
    <col min="3606" max="3606" width="7.5703125" style="51" customWidth="1"/>
    <col min="3607" max="3621" width="7.140625" style="51" customWidth="1"/>
    <col min="3622" max="3623" width="1.42578125" style="51" customWidth="1"/>
    <col min="3624" max="3624" width="6.42578125" style="51" customWidth="1"/>
    <col min="3625" max="3626" width="8.7109375" style="51" bestFit="1" customWidth="1"/>
    <col min="3627" max="3860" width="9.140625" style="51"/>
    <col min="3861" max="3861" width="1.140625" style="51" customWidth="1"/>
    <col min="3862" max="3862" width="7.5703125" style="51" customWidth="1"/>
    <col min="3863" max="3877" width="7.140625" style="51" customWidth="1"/>
    <col min="3878" max="3879" width="1.42578125" style="51" customWidth="1"/>
    <col min="3880" max="3880" width="6.42578125" style="51" customWidth="1"/>
    <col min="3881" max="3882" width="8.7109375" style="51" bestFit="1" customWidth="1"/>
    <col min="3883" max="4116" width="9.140625" style="51"/>
    <col min="4117" max="4117" width="1.140625" style="51" customWidth="1"/>
    <col min="4118" max="4118" width="7.5703125" style="51" customWidth="1"/>
    <col min="4119" max="4133" width="7.140625" style="51" customWidth="1"/>
    <col min="4134" max="4135" width="1.42578125" style="51" customWidth="1"/>
    <col min="4136" max="4136" width="6.42578125" style="51" customWidth="1"/>
    <col min="4137" max="4138" width="8.7109375" style="51" bestFit="1" customWidth="1"/>
    <col min="4139" max="4372" width="9.140625" style="51"/>
    <col min="4373" max="4373" width="1.140625" style="51" customWidth="1"/>
    <col min="4374" max="4374" width="7.5703125" style="51" customWidth="1"/>
    <col min="4375" max="4389" width="7.140625" style="51" customWidth="1"/>
    <col min="4390" max="4391" width="1.42578125" style="51" customWidth="1"/>
    <col min="4392" max="4392" width="6.42578125" style="51" customWidth="1"/>
    <col min="4393" max="4394" width="8.7109375" style="51" bestFit="1" customWidth="1"/>
    <col min="4395" max="4628" width="9.140625" style="51"/>
    <col min="4629" max="4629" width="1.140625" style="51" customWidth="1"/>
    <col min="4630" max="4630" width="7.5703125" style="51" customWidth="1"/>
    <col min="4631" max="4645" width="7.140625" style="51" customWidth="1"/>
    <col min="4646" max="4647" width="1.42578125" style="51" customWidth="1"/>
    <col min="4648" max="4648" width="6.42578125" style="51" customWidth="1"/>
    <col min="4649" max="4650" width="8.7109375" style="51" bestFit="1" customWidth="1"/>
    <col min="4651" max="4884" width="9.140625" style="51"/>
    <col min="4885" max="4885" width="1.140625" style="51" customWidth="1"/>
    <col min="4886" max="4886" width="7.5703125" style="51" customWidth="1"/>
    <col min="4887" max="4901" width="7.140625" style="51" customWidth="1"/>
    <col min="4902" max="4903" width="1.42578125" style="51" customWidth="1"/>
    <col min="4904" max="4904" width="6.42578125" style="51" customWidth="1"/>
    <col min="4905" max="4906" width="8.7109375" style="51" bestFit="1" customWidth="1"/>
    <col min="4907" max="5140" width="9.140625" style="51"/>
    <col min="5141" max="5141" width="1.140625" style="51" customWidth="1"/>
    <col min="5142" max="5142" width="7.5703125" style="51" customWidth="1"/>
    <col min="5143" max="5157" width="7.140625" style="51" customWidth="1"/>
    <col min="5158" max="5159" width="1.42578125" style="51" customWidth="1"/>
    <col min="5160" max="5160" width="6.42578125" style="51" customWidth="1"/>
    <col min="5161" max="5162" width="8.7109375" style="51" bestFit="1" customWidth="1"/>
    <col min="5163" max="5396" width="9.140625" style="51"/>
    <col min="5397" max="5397" width="1.140625" style="51" customWidth="1"/>
    <col min="5398" max="5398" width="7.5703125" style="51" customWidth="1"/>
    <col min="5399" max="5413" width="7.140625" style="51" customWidth="1"/>
    <col min="5414" max="5415" width="1.42578125" style="51" customWidth="1"/>
    <col min="5416" max="5416" width="6.42578125" style="51" customWidth="1"/>
    <col min="5417" max="5418" width="8.7109375" style="51" bestFit="1" customWidth="1"/>
    <col min="5419" max="5652" width="9.140625" style="51"/>
    <col min="5653" max="5653" width="1.140625" style="51" customWidth="1"/>
    <col min="5654" max="5654" width="7.5703125" style="51" customWidth="1"/>
    <col min="5655" max="5669" width="7.140625" style="51" customWidth="1"/>
    <col min="5670" max="5671" width="1.42578125" style="51" customWidth="1"/>
    <col min="5672" max="5672" width="6.42578125" style="51" customWidth="1"/>
    <col min="5673" max="5674" width="8.7109375" style="51" bestFit="1" customWidth="1"/>
    <col min="5675" max="5908" width="9.140625" style="51"/>
    <col min="5909" max="5909" width="1.140625" style="51" customWidth="1"/>
    <col min="5910" max="5910" width="7.5703125" style="51" customWidth="1"/>
    <col min="5911" max="5925" width="7.140625" style="51" customWidth="1"/>
    <col min="5926" max="5927" width="1.42578125" style="51" customWidth="1"/>
    <col min="5928" max="5928" width="6.42578125" style="51" customWidth="1"/>
    <col min="5929" max="5930" width="8.7109375" style="51" bestFit="1" customWidth="1"/>
    <col min="5931" max="6164" width="9.140625" style="51"/>
    <col min="6165" max="6165" width="1.140625" style="51" customWidth="1"/>
    <col min="6166" max="6166" width="7.5703125" style="51" customWidth="1"/>
    <col min="6167" max="6181" width="7.140625" style="51" customWidth="1"/>
    <col min="6182" max="6183" width="1.42578125" style="51" customWidth="1"/>
    <col min="6184" max="6184" width="6.42578125" style="51" customWidth="1"/>
    <col min="6185" max="6186" width="8.7109375" style="51" bestFit="1" customWidth="1"/>
    <col min="6187" max="6420" width="9.140625" style="51"/>
    <col min="6421" max="6421" width="1.140625" style="51" customWidth="1"/>
    <col min="6422" max="6422" width="7.5703125" style="51" customWidth="1"/>
    <col min="6423" max="6437" width="7.140625" style="51" customWidth="1"/>
    <col min="6438" max="6439" width="1.42578125" style="51" customWidth="1"/>
    <col min="6440" max="6440" width="6.42578125" style="51" customWidth="1"/>
    <col min="6441" max="6442" width="8.7109375" style="51" bestFit="1" customWidth="1"/>
    <col min="6443" max="6676" width="9.140625" style="51"/>
    <col min="6677" max="6677" width="1.140625" style="51" customWidth="1"/>
    <col min="6678" max="6678" width="7.5703125" style="51" customWidth="1"/>
    <col min="6679" max="6693" width="7.140625" style="51" customWidth="1"/>
    <col min="6694" max="6695" width="1.42578125" style="51" customWidth="1"/>
    <col min="6696" max="6696" width="6.42578125" style="51" customWidth="1"/>
    <col min="6697" max="6698" width="8.7109375" style="51" bestFit="1" customWidth="1"/>
    <col min="6699" max="6932" width="9.140625" style="51"/>
    <col min="6933" max="6933" width="1.140625" style="51" customWidth="1"/>
    <col min="6934" max="6934" width="7.5703125" style="51" customWidth="1"/>
    <col min="6935" max="6949" width="7.140625" style="51" customWidth="1"/>
    <col min="6950" max="6951" width="1.42578125" style="51" customWidth="1"/>
    <col min="6952" max="6952" width="6.42578125" style="51" customWidth="1"/>
    <col min="6953" max="6954" width="8.7109375" style="51" bestFit="1" customWidth="1"/>
    <col min="6955" max="7188" width="9.140625" style="51"/>
    <col min="7189" max="7189" width="1.140625" style="51" customWidth="1"/>
    <col min="7190" max="7190" width="7.5703125" style="51" customWidth="1"/>
    <col min="7191" max="7205" width="7.140625" style="51" customWidth="1"/>
    <col min="7206" max="7207" width="1.42578125" style="51" customWidth="1"/>
    <col min="7208" max="7208" width="6.42578125" style="51" customWidth="1"/>
    <col min="7209" max="7210" width="8.7109375" style="51" bestFit="1" customWidth="1"/>
    <col min="7211" max="7444" width="9.140625" style="51"/>
    <col min="7445" max="7445" width="1.140625" style="51" customWidth="1"/>
    <col min="7446" max="7446" width="7.5703125" style="51" customWidth="1"/>
    <col min="7447" max="7461" width="7.140625" style="51" customWidth="1"/>
    <col min="7462" max="7463" width="1.42578125" style="51" customWidth="1"/>
    <col min="7464" max="7464" width="6.42578125" style="51" customWidth="1"/>
    <col min="7465" max="7466" width="8.7109375" style="51" bestFit="1" customWidth="1"/>
    <col min="7467" max="7700" width="9.140625" style="51"/>
    <col min="7701" max="7701" width="1.140625" style="51" customWidth="1"/>
    <col min="7702" max="7702" width="7.5703125" style="51" customWidth="1"/>
    <col min="7703" max="7717" width="7.140625" style="51" customWidth="1"/>
    <col min="7718" max="7719" width="1.42578125" style="51" customWidth="1"/>
    <col min="7720" max="7720" width="6.42578125" style="51" customWidth="1"/>
    <col min="7721" max="7722" width="8.7109375" style="51" bestFit="1" customWidth="1"/>
    <col min="7723" max="7956" width="9.140625" style="51"/>
    <col min="7957" max="7957" width="1.140625" style="51" customWidth="1"/>
    <col min="7958" max="7958" width="7.5703125" style="51" customWidth="1"/>
    <col min="7959" max="7973" width="7.140625" style="51" customWidth="1"/>
    <col min="7974" max="7975" width="1.42578125" style="51" customWidth="1"/>
    <col min="7976" max="7976" width="6.42578125" style="51" customWidth="1"/>
    <col min="7977" max="7978" width="8.7109375" style="51" bestFit="1" customWidth="1"/>
    <col min="7979" max="8212" width="9.140625" style="51"/>
    <col min="8213" max="8213" width="1.140625" style="51" customWidth="1"/>
    <col min="8214" max="8214" width="7.5703125" style="51" customWidth="1"/>
    <col min="8215" max="8229" width="7.140625" style="51" customWidth="1"/>
    <col min="8230" max="8231" width="1.42578125" style="51" customWidth="1"/>
    <col min="8232" max="8232" width="6.42578125" style="51" customWidth="1"/>
    <col min="8233" max="8234" width="8.7109375" style="51" bestFit="1" customWidth="1"/>
    <col min="8235" max="8468" width="9.140625" style="51"/>
    <col min="8469" max="8469" width="1.140625" style="51" customWidth="1"/>
    <col min="8470" max="8470" width="7.5703125" style="51" customWidth="1"/>
    <col min="8471" max="8485" width="7.140625" style="51" customWidth="1"/>
    <col min="8486" max="8487" width="1.42578125" style="51" customWidth="1"/>
    <col min="8488" max="8488" width="6.42578125" style="51" customWidth="1"/>
    <col min="8489" max="8490" width="8.7109375" style="51" bestFit="1" customWidth="1"/>
    <col min="8491" max="8724" width="9.140625" style="51"/>
    <col min="8725" max="8725" width="1.140625" style="51" customWidth="1"/>
    <col min="8726" max="8726" width="7.5703125" style="51" customWidth="1"/>
    <col min="8727" max="8741" width="7.140625" style="51" customWidth="1"/>
    <col min="8742" max="8743" width="1.42578125" style="51" customWidth="1"/>
    <col min="8744" max="8744" width="6.42578125" style="51" customWidth="1"/>
    <col min="8745" max="8746" width="8.7109375" style="51" bestFit="1" customWidth="1"/>
    <col min="8747" max="8980" width="9.140625" style="51"/>
    <col min="8981" max="8981" width="1.140625" style="51" customWidth="1"/>
    <col min="8982" max="8982" width="7.5703125" style="51" customWidth="1"/>
    <col min="8983" max="8997" width="7.140625" style="51" customWidth="1"/>
    <col min="8998" max="8999" width="1.42578125" style="51" customWidth="1"/>
    <col min="9000" max="9000" width="6.42578125" style="51" customWidth="1"/>
    <col min="9001" max="9002" width="8.7109375" style="51" bestFit="1" customWidth="1"/>
    <col min="9003" max="9236" width="9.140625" style="51"/>
    <col min="9237" max="9237" width="1.140625" style="51" customWidth="1"/>
    <col min="9238" max="9238" width="7.5703125" style="51" customWidth="1"/>
    <col min="9239" max="9253" width="7.140625" style="51" customWidth="1"/>
    <col min="9254" max="9255" width="1.42578125" style="51" customWidth="1"/>
    <col min="9256" max="9256" width="6.42578125" style="51" customWidth="1"/>
    <col min="9257" max="9258" width="8.7109375" style="51" bestFit="1" customWidth="1"/>
    <col min="9259" max="9492" width="9.140625" style="51"/>
    <col min="9493" max="9493" width="1.140625" style="51" customWidth="1"/>
    <col min="9494" max="9494" width="7.5703125" style="51" customWidth="1"/>
    <col min="9495" max="9509" width="7.140625" style="51" customWidth="1"/>
    <col min="9510" max="9511" width="1.42578125" style="51" customWidth="1"/>
    <col min="9512" max="9512" width="6.42578125" style="51" customWidth="1"/>
    <col min="9513" max="9514" width="8.7109375" style="51" bestFit="1" customWidth="1"/>
    <col min="9515" max="9748" width="9.140625" style="51"/>
    <col min="9749" max="9749" width="1.140625" style="51" customWidth="1"/>
    <col min="9750" max="9750" width="7.5703125" style="51" customWidth="1"/>
    <col min="9751" max="9765" width="7.140625" style="51" customWidth="1"/>
    <col min="9766" max="9767" width="1.42578125" style="51" customWidth="1"/>
    <col min="9768" max="9768" width="6.42578125" style="51" customWidth="1"/>
    <col min="9769" max="9770" width="8.7109375" style="51" bestFit="1" customWidth="1"/>
    <col min="9771" max="10004" width="9.140625" style="51"/>
    <col min="10005" max="10005" width="1.140625" style="51" customWidth="1"/>
    <col min="10006" max="10006" width="7.5703125" style="51" customWidth="1"/>
    <col min="10007" max="10021" width="7.140625" style="51" customWidth="1"/>
    <col min="10022" max="10023" width="1.42578125" style="51" customWidth="1"/>
    <col min="10024" max="10024" width="6.42578125" style="51" customWidth="1"/>
    <col min="10025" max="10026" width="8.7109375" style="51" bestFit="1" customWidth="1"/>
    <col min="10027" max="10260" width="9.140625" style="51"/>
    <col min="10261" max="10261" width="1.140625" style="51" customWidth="1"/>
    <col min="10262" max="10262" width="7.5703125" style="51" customWidth="1"/>
    <col min="10263" max="10277" width="7.140625" style="51" customWidth="1"/>
    <col min="10278" max="10279" width="1.42578125" style="51" customWidth="1"/>
    <col min="10280" max="10280" width="6.42578125" style="51" customWidth="1"/>
    <col min="10281" max="10282" width="8.7109375" style="51" bestFit="1" customWidth="1"/>
    <col min="10283" max="10516" width="9.140625" style="51"/>
    <col min="10517" max="10517" width="1.140625" style="51" customWidth="1"/>
    <col min="10518" max="10518" width="7.5703125" style="51" customWidth="1"/>
    <col min="10519" max="10533" width="7.140625" style="51" customWidth="1"/>
    <col min="10534" max="10535" width="1.42578125" style="51" customWidth="1"/>
    <col min="10536" max="10536" width="6.42578125" style="51" customWidth="1"/>
    <col min="10537" max="10538" width="8.7109375" style="51" bestFit="1" customWidth="1"/>
    <col min="10539" max="10772" width="9.140625" style="51"/>
    <col min="10773" max="10773" width="1.140625" style="51" customWidth="1"/>
    <col min="10774" max="10774" width="7.5703125" style="51" customWidth="1"/>
    <col min="10775" max="10789" width="7.140625" style="51" customWidth="1"/>
    <col min="10790" max="10791" width="1.42578125" style="51" customWidth="1"/>
    <col min="10792" max="10792" width="6.42578125" style="51" customWidth="1"/>
    <col min="10793" max="10794" width="8.7109375" style="51" bestFit="1" customWidth="1"/>
    <col min="10795" max="11028" width="9.140625" style="51"/>
    <col min="11029" max="11029" width="1.140625" style="51" customWidth="1"/>
    <col min="11030" max="11030" width="7.5703125" style="51" customWidth="1"/>
    <col min="11031" max="11045" width="7.140625" style="51" customWidth="1"/>
    <col min="11046" max="11047" width="1.42578125" style="51" customWidth="1"/>
    <col min="11048" max="11048" width="6.42578125" style="51" customWidth="1"/>
    <col min="11049" max="11050" width="8.7109375" style="51" bestFit="1" customWidth="1"/>
    <col min="11051" max="11284" width="9.140625" style="51"/>
    <col min="11285" max="11285" width="1.140625" style="51" customWidth="1"/>
    <col min="11286" max="11286" width="7.5703125" style="51" customWidth="1"/>
    <col min="11287" max="11301" width="7.140625" style="51" customWidth="1"/>
    <col min="11302" max="11303" width="1.42578125" style="51" customWidth="1"/>
    <col min="11304" max="11304" width="6.42578125" style="51" customWidth="1"/>
    <col min="11305" max="11306" width="8.7109375" style="51" bestFit="1" customWidth="1"/>
    <col min="11307" max="11540" width="9.140625" style="51"/>
    <col min="11541" max="11541" width="1.140625" style="51" customWidth="1"/>
    <col min="11542" max="11542" width="7.5703125" style="51" customWidth="1"/>
    <col min="11543" max="11557" width="7.140625" style="51" customWidth="1"/>
    <col min="11558" max="11559" width="1.42578125" style="51" customWidth="1"/>
    <col min="11560" max="11560" width="6.42578125" style="51" customWidth="1"/>
    <col min="11561" max="11562" width="8.7109375" style="51" bestFit="1" customWidth="1"/>
    <col min="11563" max="11796" width="9.140625" style="51"/>
    <col min="11797" max="11797" width="1.140625" style="51" customWidth="1"/>
    <col min="11798" max="11798" width="7.5703125" style="51" customWidth="1"/>
    <col min="11799" max="11813" width="7.140625" style="51" customWidth="1"/>
    <col min="11814" max="11815" width="1.42578125" style="51" customWidth="1"/>
    <col min="11816" max="11816" width="6.42578125" style="51" customWidth="1"/>
    <col min="11817" max="11818" width="8.7109375" style="51" bestFit="1" customWidth="1"/>
    <col min="11819" max="12052" width="9.140625" style="51"/>
    <col min="12053" max="12053" width="1.140625" style="51" customWidth="1"/>
    <col min="12054" max="12054" width="7.5703125" style="51" customWidth="1"/>
    <col min="12055" max="12069" width="7.140625" style="51" customWidth="1"/>
    <col min="12070" max="12071" width="1.42578125" style="51" customWidth="1"/>
    <col min="12072" max="12072" width="6.42578125" style="51" customWidth="1"/>
    <col min="12073" max="12074" width="8.7109375" style="51" bestFit="1" customWidth="1"/>
    <col min="12075" max="12308" width="9.140625" style="51"/>
    <col min="12309" max="12309" width="1.140625" style="51" customWidth="1"/>
    <col min="12310" max="12310" width="7.5703125" style="51" customWidth="1"/>
    <col min="12311" max="12325" width="7.140625" style="51" customWidth="1"/>
    <col min="12326" max="12327" width="1.42578125" style="51" customWidth="1"/>
    <col min="12328" max="12328" width="6.42578125" style="51" customWidth="1"/>
    <col min="12329" max="12330" width="8.7109375" style="51" bestFit="1" customWidth="1"/>
    <col min="12331" max="12564" width="9.140625" style="51"/>
    <col min="12565" max="12565" width="1.140625" style="51" customWidth="1"/>
    <col min="12566" max="12566" width="7.5703125" style="51" customWidth="1"/>
    <col min="12567" max="12581" width="7.140625" style="51" customWidth="1"/>
    <col min="12582" max="12583" width="1.42578125" style="51" customWidth="1"/>
    <col min="12584" max="12584" width="6.42578125" style="51" customWidth="1"/>
    <col min="12585" max="12586" width="8.7109375" style="51" bestFit="1" customWidth="1"/>
    <col min="12587" max="12820" width="9.140625" style="51"/>
    <col min="12821" max="12821" width="1.140625" style="51" customWidth="1"/>
    <col min="12822" max="12822" width="7.5703125" style="51" customWidth="1"/>
    <col min="12823" max="12837" width="7.140625" style="51" customWidth="1"/>
    <col min="12838" max="12839" width="1.42578125" style="51" customWidth="1"/>
    <col min="12840" max="12840" width="6.42578125" style="51" customWidth="1"/>
    <col min="12841" max="12842" width="8.7109375" style="51" bestFit="1" customWidth="1"/>
    <col min="12843" max="13076" width="9.140625" style="51"/>
    <col min="13077" max="13077" width="1.140625" style="51" customWidth="1"/>
    <col min="13078" max="13078" width="7.5703125" style="51" customWidth="1"/>
    <col min="13079" max="13093" width="7.140625" style="51" customWidth="1"/>
    <col min="13094" max="13095" width="1.42578125" style="51" customWidth="1"/>
    <col min="13096" max="13096" width="6.42578125" style="51" customWidth="1"/>
    <col min="13097" max="13098" width="8.7109375" style="51" bestFit="1" customWidth="1"/>
    <col min="13099" max="13332" width="9.140625" style="51"/>
    <col min="13333" max="13333" width="1.140625" style="51" customWidth="1"/>
    <col min="13334" max="13334" width="7.5703125" style="51" customWidth="1"/>
    <col min="13335" max="13349" width="7.140625" style="51" customWidth="1"/>
    <col min="13350" max="13351" width="1.42578125" style="51" customWidth="1"/>
    <col min="13352" max="13352" width="6.42578125" style="51" customWidth="1"/>
    <col min="13353" max="13354" width="8.7109375" style="51" bestFit="1" customWidth="1"/>
    <col min="13355" max="13588" width="9.140625" style="51"/>
    <col min="13589" max="13589" width="1.140625" style="51" customWidth="1"/>
    <col min="13590" max="13590" width="7.5703125" style="51" customWidth="1"/>
    <col min="13591" max="13605" width="7.140625" style="51" customWidth="1"/>
    <col min="13606" max="13607" width="1.42578125" style="51" customWidth="1"/>
    <col min="13608" max="13608" width="6.42578125" style="51" customWidth="1"/>
    <col min="13609" max="13610" width="8.7109375" style="51" bestFit="1" customWidth="1"/>
    <col min="13611" max="13844" width="9.140625" style="51"/>
    <col min="13845" max="13845" width="1.140625" style="51" customWidth="1"/>
    <col min="13846" max="13846" width="7.5703125" style="51" customWidth="1"/>
    <col min="13847" max="13861" width="7.140625" style="51" customWidth="1"/>
    <col min="13862" max="13863" width="1.42578125" style="51" customWidth="1"/>
    <col min="13864" max="13864" width="6.42578125" style="51" customWidth="1"/>
    <col min="13865" max="13866" width="8.7109375" style="51" bestFit="1" customWidth="1"/>
    <col min="13867" max="14100" width="9.140625" style="51"/>
    <col min="14101" max="14101" width="1.140625" style="51" customWidth="1"/>
    <col min="14102" max="14102" width="7.5703125" style="51" customWidth="1"/>
    <col min="14103" max="14117" width="7.140625" style="51" customWidth="1"/>
    <col min="14118" max="14119" width="1.42578125" style="51" customWidth="1"/>
    <col min="14120" max="14120" width="6.42578125" style="51" customWidth="1"/>
    <col min="14121" max="14122" width="8.7109375" style="51" bestFit="1" customWidth="1"/>
    <col min="14123" max="14356" width="9.140625" style="51"/>
    <col min="14357" max="14357" width="1.140625" style="51" customWidth="1"/>
    <col min="14358" max="14358" width="7.5703125" style="51" customWidth="1"/>
    <col min="14359" max="14373" width="7.140625" style="51" customWidth="1"/>
    <col min="14374" max="14375" width="1.42578125" style="51" customWidth="1"/>
    <col min="14376" max="14376" width="6.42578125" style="51" customWidth="1"/>
    <col min="14377" max="14378" width="8.7109375" style="51" bestFit="1" customWidth="1"/>
    <col min="14379" max="14612" width="9.140625" style="51"/>
    <col min="14613" max="14613" width="1.140625" style="51" customWidth="1"/>
    <col min="14614" max="14614" width="7.5703125" style="51" customWidth="1"/>
    <col min="14615" max="14629" width="7.140625" style="51" customWidth="1"/>
    <col min="14630" max="14631" width="1.42578125" style="51" customWidth="1"/>
    <col min="14632" max="14632" width="6.42578125" style="51" customWidth="1"/>
    <col min="14633" max="14634" width="8.7109375" style="51" bestFit="1" customWidth="1"/>
    <col min="14635" max="14868" width="9.140625" style="51"/>
    <col min="14869" max="14869" width="1.140625" style="51" customWidth="1"/>
    <col min="14870" max="14870" width="7.5703125" style="51" customWidth="1"/>
    <col min="14871" max="14885" width="7.140625" style="51" customWidth="1"/>
    <col min="14886" max="14887" width="1.42578125" style="51" customWidth="1"/>
    <col min="14888" max="14888" width="6.42578125" style="51" customWidth="1"/>
    <col min="14889" max="14890" width="8.7109375" style="51" bestFit="1" customWidth="1"/>
    <col min="14891" max="15124" width="9.140625" style="51"/>
    <col min="15125" max="15125" width="1.140625" style="51" customWidth="1"/>
    <col min="15126" max="15126" width="7.5703125" style="51" customWidth="1"/>
    <col min="15127" max="15141" width="7.140625" style="51" customWidth="1"/>
    <col min="15142" max="15143" width="1.42578125" style="51" customWidth="1"/>
    <col min="15144" max="15144" width="6.42578125" style="51" customWidth="1"/>
    <col min="15145" max="15146" width="8.7109375" style="51" bestFit="1" customWidth="1"/>
    <col min="15147" max="15380" width="9.140625" style="51"/>
    <col min="15381" max="15381" width="1.140625" style="51" customWidth="1"/>
    <col min="15382" max="15382" width="7.5703125" style="51" customWidth="1"/>
    <col min="15383" max="15397" width="7.140625" style="51" customWidth="1"/>
    <col min="15398" max="15399" width="1.42578125" style="51" customWidth="1"/>
    <col min="15400" max="15400" width="6.42578125" style="51" customWidth="1"/>
    <col min="15401" max="15402" width="8.7109375" style="51" bestFit="1" customWidth="1"/>
    <col min="15403" max="15636" width="9.140625" style="51"/>
    <col min="15637" max="15637" width="1.140625" style="51" customWidth="1"/>
    <col min="15638" max="15638" width="7.5703125" style="51" customWidth="1"/>
    <col min="15639" max="15653" width="7.140625" style="51" customWidth="1"/>
    <col min="15654" max="15655" width="1.42578125" style="51" customWidth="1"/>
    <col min="15656" max="15656" width="6.42578125" style="51" customWidth="1"/>
    <col min="15657" max="15658" width="8.7109375" style="51" bestFit="1" customWidth="1"/>
    <col min="15659" max="15892" width="9.140625" style="51"/>
    <col min="15893" max="15893" width="1.140625" style="51" customWidth="1"/>
    <col min="15894" max="15894" width="7.5703125" style="51" customWidth="1"/>
    <col min="15895" max="15909" width="7.140625" style="51" customWidth="1"/>
    <col min="15910" max="15911" width="1.42578125" style="51" customWidth="1"/>
    <col min="15912" max="15912" width="6.42578125" style="51" customWidth="1"/>
    <col min="15913" max="15914" width="8.7109375" style="51" bestFit="1" customWidth="1"/>
    <col min="15915" max="16148" width="9.140625" style="51"/>
    <col min="16149" max="16149" width="1.140625" style="51" customWidth="1"/>
    <col min="16150" max="16150" width="7.5703125" style="51" customWidth="1"/>
    <col min="16151" max="16165" width="7.140625" style="51" customWidth="1"/>
    <col min="16166" max="16167" width="1.42578125" style="51" customWidth="1"/>
    <col min="16168" max="16168" width="6.42578125" style="51" customWidth="1"/>
    <col min="16169" max="16170" width="8.7109375" style="51" bestFit="1" customWidth="1"/>
    <col min="16171" max="16384" width="9.140625" style="51"/>
  </cols>
  <sheetData>
    <row r="1" spans="1:50" ht="18" customHeight="1"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50" ht="33" customHeight="1">
      <c r="B2" s="462" t="s">
        <v>43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</row>
    <row r="3" spans="1:50" ht="9.75" customHeight="1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5"/>
      <c r="AE3" s="55"/>
      <c r="AF3" s="55"/>
      <c r="AG3" s="55"/>
      <c r="AH3" s="56"/>
      <c r="AI3" s="56"/>
      <c r="AJ3" s="57"/>
      <c r="AK3" s="57"/>
      <c r="AO3" s="58"/>
    </row>
    <row r="4" spans="1:50" ht="9.75" customHeight="1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5"/>
      <c r="AE4" s="55"/>
      <c r="AF4" s="55"/>
      <c r="AG4" s="55"/>
      <c r="AH4" s="56"/>
      <c r="AI4" s="56"/>
      <c r="AJ4" s="57"/>
      <c r="AK4" s="57"/>
      <c r="AO4" s="58"/>
    </row>
    <row r="5" spans="1:50" s="121" customFormat="1" ht="18" customHeight="1">
      <c r="B5" s="463" t="s">
        <v>16</v>
      </c>
      <c r="C5" s="463"/>
      <c r="D5" s="59" t="s">
        <v>17</v>
      </c>
      <c r="E5" s="346">
        <v>5</v>
      </c>
      <c r="F5" s="346"/>
      <c r="G5" s="60" t="s">
        <v>18</v>
      </c>
      <c r="H5" s="59" t="s">
        <v>19</v>
      </c>
      <c r="I5" s="346">
        <v>1.5</v>
      </c>
      <c r="J5" s="346"/>
      <c r="K5" s="347" t="s">
        <v>20</v>
      </c>
      <c r="L5" s="347"/>
      <c r="Q5" s="384" t="s">
        <v>25</v>
      </c>
      <c r="R5" s="385"/>
      <c r="X5" s="124"/>
      <c r="AD5" s="125"/>
      <c r="AH5" s="25"/>
      <c r="AI5" s="61">
        <v>0.2</v>
      </c>
      <c r="AJ5" s="26"/>
      <c r="AK5" s="26"/>
      <c r="AL5" s="26"/>
      <c r="AM5" s="26"/>
    </row>
    <row r="6" spans="1:50" s="121" customFormat="1" ht="18" customHeight="1">
      <c r="B6" s="124" t="s">
        <v>23</v>
      </c>
      <c r="C6" s="124"/>
      <c r="D6" s="361">
        <v>60</v>
      </c>
      <c r="E6" s="361"/>
      <c r="F6" s="124"/>
      <c r="Q6" s="33">
        <v>0.2</v>
      </c>
      <c r="R6" s="34">
        <v>1.1000000000000001</v>
      </c>
      <c r="AH6" s="25"/>
      <c r="AI6" s="61">
        <v>0.25</v>
      </c>
      <c r="AJ6" s="28"/>
      <c r="AK6" s="28"/>
      <c r="AL6" s="28"/>
      <c r="AM6" s="28"/>
    </row>
    <row r="7" spans="1:50" s="121" customFormat="1" ht="18" customHeight="1">
      <c r="B7" s="29" t="s">
        <v>26</v>
      </c>
      <c r="D7" s="361">
        <v>16</v>
      </c>
      <c r="E7" s="361"/>
      <c r="F7" s="27"/>
      <c r="G7" s="124" t="s">
        <v>21</v>
      </c>
      <c r="H7" s="124"/>
      <c r="I7" s="62">
        <f>(E5-(3*I9))+(0.866025*I5)</f>
        <v>3.7009612886466838</v>
      </c>
      <c r="J7" s="124" t="s">
        <v>22</v>
      </c>
      <c r="K7" s="124"/>
      <c r="N7" s="123"/>
      <c r="O7" s="123"/>
      <c r="P7" s="32"/>
      <c r="Q7" s="33">
        <v>0.25</v>
      </c>
      <c r="R7" s="34">
        <v>1.35</v>
      </c>
      <c r="AD7" s="125"/>
      <c r="AH7" s="25"/>
      <c r="AI7" s="61">
        <v>0.28000000000000003</v>
      </c>
      <c r="AJ7" s="28"/>
      <c r="AK7" s="28"/>
      <c r="AL7" s="28"/>
      <c r="AM7" s="28"/>
    </row>
    <row r="8" spans="1:50" ht="18" customHeight="1">
      <c r="B8" s="54"/>
      <c r="C8" s="54"/>
      <c r="D8" s="54"/>
      <c r="E8" s="54"/>
      <c r="F8" s="54"/>
      <c r="G8" s="464" t="s">
        <v>24</v>
      </c>
      <c r="H8" s="464"/>
      <c r="I8" s="122">
        <v>0.89500000000000002</v>
      </c>
      <c r="J8" s="120" t="s">
        <v>22</v>
      </c>
      <c r="K8" s="120"/>
      <c r="N8" s="54"/>
      <c r="O8" s="54"/>
      <c r="P8" s="54"/>
      <c r="Q8" s="33">
        <v>0.28000000000000003</v>
      </c>
      <c r="R8" s="34">
        <v>1.65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5"/>
      <c r="AE8" s="55"/>
      <c r="AF8" s="55"/>
      <c r="AG8" s="55"/>
      <c r="AH8" s="56"/>
      <c r="AI8" s="56"/>
      <c r="AJ8" s="57"/>
      <c r="AK8" s="57"/>
      <c r="AO8" s="58"/>
    </row>
    <row r="9" spans="1:50" ht="18" customHeight="1">
      <c r="B9" s="54"/>
      <c r="C9" s="54"/>
      <c r="D9" s="54"/>
      <c r="E9" s="54"/>
      <c r="F9" s="54"/>
      <c r="G9" s="463" t="s">
        <v>27</v>
      </c>
      <c r="H9" s="463"/>
      <c r="I9" s="119">
        <f>1/(COS(([4]Data!H20/2)*PI()/180))*(I5/2)</f>
        <v>0.8660254037844386</v>
      </c>
      <c r="J9" s="120" t="s">
        <v>22</v>
      </c>
      <c r="K9" s="120"/>
      <c r="N9" s="54"/>
      <c r="O9" s="54"/>
      <c r="P9" s="54"/>
      <c r="Q9" s="33">
        <v>0.45500000000000002</v>
      </c>
      <c r="R9" s="34">
        <v>2.0499999999999998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5"/>
      <c r="AF9" s="55"/>
      <c r="AG9" s="55"/>
      <c r="AH9" s="56"/>
      <c r="AI9" s="56"/>
      <c r="AJ9" s="57"/>
      <c r="AK9" s="57"/>
      <c r="AO9" s="58"/>
    </row>
    <row r="10" spans="1:50" ht="18" customHeight="1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4">
        <v>0.53</v>
      </c>
      <c r="R10" s="34">
        <v>2.5499999999999998</v>
      </c>
      <c r="S10" s="52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7"/>
      <c r="AE10" s="57"/>
      <c r="AF10" s="57"/>
      <c r="AG10" s="57"/>
      <c r="AL10" s="57" t="s">
        <v>44</v>
      </c>
    </row>
    <row r="11" spans="1:50" ht="18" customHeight="1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7" t="s">
        <v>44</v>
      </c>
      <c r="P11" s="54"/>
      <c r="Q11" s="39">
        <v>0.62</v>
      </c>
      <c r="R11" s="34">
        <v>3.2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7"/>
      <c r="AE11" s="57"/>
      <c r="AF11" s="57"/>
      <c r="AG11" s="57"/>
      <c r="AL11" s="57"/>
    </row>
    <row r="12" spans="1:50" ht="21.75">
      <c r="B12" s="465" t="s">
        <v>45</v>
      </c>
      <c r="C12" s="467" t="s">
        <v>46</v>
      </c>
      <c r="D12" s="468"/>
      <c r="E12" s="469"/>
      <c r="F12" s="473" t="s">
        <v>47</v>
      </c>
      <c r="G12" s="474"/>
      <c r="H12" s="475" t="s">
        <v>48</v>
      </c>
      <c r="I12" s="476"/>
      <c r="J12" s="477" t="s">
        <v>49</v>
      </c>
      <c r="K12" s="478"/>
      <c r="L12" s="481" t="s">
        <v>50</v>
      </c>
      <c r="M12" s="483" t="s">
        <v>51</v>
      </c>
      <c r="N12" s="484"/>
      <c r="O12" s="485" t="s">
        <v>52</v>
      </c>
      <c r="Q12" s="39">
        <v>0.72499999999999998</v>
      </c>
      <c r="R12" s="33">
        <v>4</v>
      </c>
      <c r="AV12" s="66"/>
      <c r="AW12" s="66"/>
      <c r="AX12" s="66"/>
    </row>
    <row r="13" spans="1:50" ht="18" customHeight="1">
      <c r="B13" s="466"/>
      <c r="C13" s="470"/>
      <c r="D13" s="471"/>
      <c r="E13" s="472"/>
      <c r="F13" s="487" t="s">
        <v>53</v>
      </c>
      <c r="G13" s="488"/>
      <c r="H13" s="489" t="s">
        <v>54</v>
      </c>
      <c r="I13" s="490"/>
      <c r="J13" s="479"/>
      <c r="K13" s="480"/>
      <c r="L13" s="482"/>
      <c r="M13" s="491" t="s">
        <v>53</v>
      </c>
      <c r="N13" s="492"/>
      <c r="O13" s="486"/>
      <c r="Q13" s="34">
        <v>0.89500000000000002</v>
      </c>
      <c r="R13" s="40"/>
      <c r="AV13" s="66"/>
      <c r="AW13" s="66"/>
      <c r="AX13" s="66"/>
    </row>
    <row r="14" spans="1:50" ht="18" customHeight="1">
      <c r="B14" s="67" t="s">
        <v>55</v>
      </c>
      <c r="C14" s="495" t="s">
        <v>33</v>
      </c>
      <c r="D14" s="496"/>
      <c r="E14" s="497"/>
      <c r="F14" s="504">
        <f>[4]Data!AF26</f>
        <v>1.9999999999242846E-5</v>
      </c>
      <c r="G14" s="505"/>
      <c r="H14" s="500" t="s">
        <v>56</v>
      </c>
      <c r="I14" s="501"/>
      <c r="J14" s="500">
        <v>1</v>
      </c>
      <c r="K14" s="501"/>
      <c r="L14" s="67">
        <v>1</v>
      </c>
      <c r="M14" s="502">
        <f>F14/J14</f>
        <v>1.9999999999242846E-5</v>
      </c>
      <c r="N14" s="503"/>
      <c r="O14" s="68">
        <v>2</v>
      </c>
      <c r="Q14" s="7"/>
      <c r="R14" s="506" t="s">
        <v>149</v>
      </c>
      <c r="S14" s="493" t="s">
        <v>150</v>
      </c>
      <c r="T14" s="494"/>
      <c r="U14" s="7"/>
      <c r="V14" s="7"/>
      <c r="W14" s="7"/>
      <c r="X14" s="7"/>
      <c r="AO14" s="69"/>
      <c r="AV14" s="66"/>
      <c r="AW14" s="66"/>
      <c r="AX14" s="66"/>
    </row>
    <row r="15" spans="1:50" ht="18" customHeight="1">
      <c r="B15" s="70" t="s">
        <v>57</v>
      </c>
      <c r="C15" s="495" t="s">
        <v>58</v>
      </c>
      <c r="D15" s="496"/>
      <c r="E15" s="497"/>
      <c r="F15" s="498">
        <f>'[4]Cert of STD'!X6</f>
        <v>3.7033106020840359E-4</v>
      </c>
      <c r="G15" s="499"/>
      <c r="H15" s="500" t="s">
        <v>56</v>
      </c>
      <c r="I15" s="501"/>
      <c r="J15" s="500">
        <v>2</v>
      </c>
      <c r="K15" s="501"/>
      <c r="L15" s="67">
        <v>1</v>
      </c>
      <c r="M15" s="502">
        <f>F15/2</f>
        <v>1.8516553010420179E-4</v>
      </c>
      <c r="N15" s="503"/>
      <c r="O15" s="71"/>
      <c r="Q15" s="7"/>
      <c r="R15" s="506"/>
      <c r="S15" s="494"/>
      <c r="T15" s="494"/>
      <c r="U15" s="7"/>
      <c r="V15" s="7"/>
      <c r="W15" s="7"/>
      <c r="X15" s="7"/>
      <c r="AO15" s="69"/>
      <c r="AV15" s="66"/>
      <c r="AW15" s="66"/>
      <c r="AX15" s="66"/>
    </row>
    <row r="16" spans="1:50" ht="18" customHeight="1">
      <c r="A16" s="66"/>
      <c r="B16" s="70" t="s">
        <v>59</v>
      </c>
      <c r="C16" s="495" t="s">
        <v>60</v>
      </c>
      <c r="D16" s="496"/>
      <c r="E16" s="497"/>
      <c r="F16" s="498">
        <f>'[4]Cert of STD'!F11</f>
        <v>2.0999999999999998E-4</v>
      </c>
      <c r="G16" s="499"/>
      <c r="H16" s="500" t="s">
        <v>56</v>
      </c>
      <c r="I16" s="501"/>
      <c r="J16" s="500">
        <v>2</v>
      </c>
      <c r="K16" s="501"/>
      <c r="L16" s="67">
        <v>1</v>
      </c>
      <c r="M16" s="502">
        <f>F16/J16</f>
        <v>1.0499999999999999E-4</v>
      </c>
      <c r="N16" s="503"/>
      <c r="O16" s="71"/>
      <c r="Q16" s="7"/>
      <c r="R16" s="7"/>
      <c r="S16" s="493" t="s">
        <v>151</v>
      </c>
      <c r="T16" s="494" t="s">
        <v>152</v>
      </c>
      <c r="U16" s="494"/>
      <c r="V16" s="494"/>
      <c r="W16" s="7"/>
      <c r="X16" s="7"/>
      <c r="AO16" s="69"/>
      <c r="AV16" s="66"/>
      <c r="AW16" s="66"/>
      <c r="AX16" s="66"/>
    </row>
    <row r="17" spans="1:50" ht="18" customHeight="1">
      <c r="A17" s="66"/>
      <c r="B17" s="70" t="s">
        <v>61</v>
      </c>
      <c r="C17" s="495" t="s">
        <v>62</v>
      </c>
      <c r="D17" s="496"/>
      <c r="E17" s="497"/>
      <c r="F17" s="507">
        <f>(V18*1000)*2</f>
        <v>5.3775680459885642E-4</v>
      </c>
      <c r="G17" s="508"/>
      <c r="H17" s="500" t="s">
        <v>63</v>
      </c>
      <c r="I17" s="501"/>
      <c r="J17" s="509" t="s">
        <v>64</v>
      </c>
      <c r="K17" s="510"/>
      <c r="L17" s="67">
        <v>1</v>
      </c>
      <c r="M17" s="511">
        <f>F17/SQRT(3)</f>
        <v>3.1047403589370276E-4</v>
      </c>
      <c r="N17" s="512"/>
      <c r="O17" s="71"/>
      <c r="Q17" s="7"/>
      <c r="R17" s="7"/>
      <c r="S17" s="494"/>
      <c r="T17" s="494"/>
      <c r="U17" s="494"/>
      <c r="V17" s="494"/>
      <c r="W17" s="7"/>
      <c r="X17" s="7"/>
      <c r="AO17" s="69"/>
      <c r="AV17" s="66"/>
      <c r="AW17" s="66"/>
      <c r="AX17" s="66"/>
    </row>
    <row r="18" spans="1:50" s="66" customFormat="1" ht="18" customHeight="1">
      <c r="B18" s="70" t="s">
        <v>67</v>
      </c>
      <c r="C18" s="495" t="s">
        <v>153</v>
      </c>
      <c r="D18" s="496"/>
      <c r="E18" s="497"/>
      <c r="F18" s="513">
        <v>1.0000000000000001E-5</v>
      </c>
      <c r="G18" s="514"/>
      <c r="H18" s="500" t="s">
        <v>63</v>
      </c>
      <c r="I18" s="501"/>
      <c r="J18" s="509" t="s">
        <v>69</v>
      </c>
      <c r="K18" s="510"/>
      <c r="L18" s="67">
        <v>1</v>
      </c>
      <c r="M18" s="502">
        <f>(F18/2)/SQRT(3)</f>
        <v>2.8867513459481293E-6</v>
      </c>
      <c r="N18" s="503"/>
      <c r="O18" s="71"/>
      <c r="Q18" s="7"/>
      <c r="R18" s="8" t="s">
        <v>154</v>
      </c>
      <c r="S18" s="255">
        <f>((((9*V20^2)/(8*(T21/1000)))*(((1-W22^2)/(4*10^11))+((1-U22^2)/(2*10^11)))^2)^(1/3))</f>
        <v>1.3443920114971407E-7</v>
      </c>
      <c r="T18" s="8"/>
      <c r="U18" s="256" t="s">
        <v>155</v>
      </c>
      <c r="V18" s="257">
        <f>(SIN((60/2)*PI()/180)^(-5/3))*(0.5^(2/3))*S18</f>
        <v>2.6887840229942819E-7</v>
      </c>
      <c r="W18" s="7"/>
      <c r="X18" s="7"/>
      <c r="AO18" s="72"/>
    </row>
    <row r="19" spans="1:50" s="66" customFormat="1" ht="18" customHeight="1">
      <c r="B19" s="70" t="s">
        <v>72</v>
      </c>
      <c r="C19" s="495" t="s">
        <v>73</v>
      </c>
      <c r="D19" s="496"/>
      <c r="E19" s="497"/>
      <c r="F19" s="498">
        <f>(COS((D6/2)*PI()/180)/(SIN((D6/2)*PI()/180))^2)*((I8/1000)-(I9/1000))</f>
        <v>1.0037094554829085E-4</v>
      </c>
      <c r="G19" s="499"/>
      <c r="H19" s="500" t="s">
        <v>63</v>
      </c>
      <c r="I19" s="501"/>
      <c r="J19" s="509" t="s">
        <v>64</v>
      </c>
      <c r="K19" s="510"/>
      <c r="L19" s="67">
        <v>1</v>
      </c>
      <c r="M19" s="511">
        <f>F19*((2*3.14)/360)*(15/60)*(1/SQRT(3))*1000</f>
        <v>2.5272286699128642E-4</v>
      </c>
      <c r="N19" s="512"/>
      <c r="O19" s="71"/>
      <c r="Q19" s="7"/>
      <c r="R19" s="7"/>
      <c r="S19" s="8"/>
      <c r="T19" s="8"/>
      <c r="U19" s="8"/>
      <c r="V19" s="8"/>
      <c r="W19" s="7"/>
      <c r="X19" s="7"/>
      <c r="AO19" s="72"/>
      <c r="AV19" s="51"/>
      <c r="AW19" s="51"/>
      <c r="AX19" s="51"/>
    </row>
    <row r="20" spans="1:50" s="66" customFormat="1" ht="18" customHeight="1">
      <c r="B20" s="70" t="s">
        <v>74</v>
      </c>
      <c r="C20" s="495" t="s">
        <v>75</v>
      </c>
      <c r="D20" s="496"/>
      <c r="E20" s="497"/>
      <c r="F20" s="517">
        <v>2.0000000000000002E-5</v>
      </c>
      <c r="G20" s="518"/>
      <c r="H20" s="500" t="s">
        <v>63</v>
      </c>
      <c r="I20" s="501"/>
      <c r="J20" s="509" t="s">
        <v>64</v>
      </c>
      <c r="K20" s="510"/>
      <c r="L20" s="67">
        <v>1</v>
      </c>
      <c r="M20" s="519">
        <f>F20/SQRT(3)</f>
        <v>1.1547005383792517E-5</v>
      </c>
      <c r="N20" s="520"/>
      <c r="O20" s="71"/>
      <c r="Q20" s="258" t="s">
        <v>156</v>
      </c>
      <c r="R20" s="7" t="s">
        <v>157</v>
      </c>
      <c r="S20" s="7"/>
      <c r="T20" s="7"/>
      <c r="U20" s="7"/>
      <c r="V20" s="7">
        <v>0.2</v>
      </c>
      <c r="W20" s="7"/>
      <c r="X20" s="259"/>
      <c r="AO20" s="72"/>
      <c r="AV20" s="51"/>
      <c r="AW20" s="51"/>
      <c r="AX20" s="51"/>
    </row>
    <row r="21" spans="1:50" s="66" customFormat="1" ht="18" customHeight="1">
      <c r="B21" s="70" t="s">
        <v>76</v>
      </c>
      <c r="C21" s="495" t="s">
        <v>77</v>
      </c>
      <c r="D21" s="496"/>
      <c r="E21" s="497"/>
      <c r="F21" s="498">
        <f>((I5)*(11.5*10^-6)*1)</f>
        <v>1.7249999999999999E-5</v>
      </c>
      <c r="G21" s="499"/>
      <c r="H21" s="500" t="s">
        <v>63</v>
      </c>
      <c r="I21" s="501"/>
      <c r="J21" s="509" t="s">
        <v>64</v>
      </c>
      <c r="K21" s="510"/>
      <c r="L21" s="67">
        <v>1</v>
      </c>
      <c r="M21" s="515">
        <f>F21/SQRT(3)</f>
        <v>9.9592921435210452E-6</v>
      </c>
      <c r="N21" s="516"/>
      <c r="O21" s="71"/>
      <c r="Q21" s="260" t="s">
        <v>158</v>
      </c>
      <c r="R21" s="7" t="s">
        <v>159</v>
      </c>
      <c r="S21" s="7"/>
      <c r="T21" s="7">
        <f>I8</f>
        <v>0.89500000000000002</v>
      </c>
      <c r="U21" s="7"/>
      <c r="V21" s="7"/>
      <c r="W21" s="7"/>
      <c r="X21" s="7"/>
      <c r="AO21" s="72"/>
      <c r="AV21" s="51"/>
      <c r="AW21" s="51"/>
      <c r="AX21" s="51"/>
    </row>
    <row r="22" spans="1:50" s="66" customFormat="1" ht="18" customHeight="1">
      <c r="B22" s="70" t="s">
        <v>78</v>
      </c>
      <c r="C22" s="495" t="s">
        <v>79</v>
      </c>
      <c r="D22" s="496"/>
      <c r="E22" s="497"/>
      <c r="F22" s="500"/>
      <c r="G22" s="501"/>
      <c r="H22" s="500" t="s">
        <v>56</v>
      </c>
      <c r="I22" s="501"/>
      <c r="J22" s="521"/>
      <c r="K22" s="522"/>
      <c r="L22" s="73"/>
      <c r="M22" s="511">
        <f>SQRT(M14^2+M15^2+M16^2+M17^2+M18^2+M19^2+M20^2+M21^2)</f>
        <v>4.5410913024274916E-4</v>
      </c>
      <c r="N22" s="512"/>
      <c r="O22" s="71">
        <f>(M22^4)/(((IF(M14&lt;=0,0.001,M14)^4)/9))</f>
        <v>2392012.5957760145</v>
      </c>
      <c r="Q22" s="258" t="s">
        <v>160</v>
      </c>
      <c r="R22" s="7" t="s">
        <v>161</v>
      </c>
      <c r="S22" s="7"/>
      <c r="T22" s="258" t="s">
        <v>162</v>
      </c>
      <c r="U22" s="261">
        <v>0.28000000000000003</v>
      </c>
      <c r="V22" s="258" t="s">
        <v>163</v>
      </c>
      <c r="W22" s="261">
        <v>0.25</v>
      </c>
      <c r="X22" s="13"/>
      <c r="AO22" s="72"/>
      <c r="AV22" s="51"/>
      <c r="AW22" s="51"/>
      <c r="AX22" s="51"/>
    </row>
    <row r="23" spans="1:50" s="66" customFormat="1" ht="18" customHeight="1">
      <c r="B23" s="70" t="s">
        <v>80</v>
      </c>
      <c r="C23" s="495" t="s">
        <v>81</v>
      </c>
      <c r="D23" s="496"/>
      <c r="E23" s="497"/>
      <c r="F23" s="500"/>
      <c r="G23" s="501"/>
      <c r="H23" s="500" t="s">
        <v>82</v>
      </c>
      <c r="I23" s="501"/>
      <c r="J23" s="521"/>
      <c r="K23" s="522"/>
      <c r="L23" s="73"/>
      <c r="M23" s="523">
        <f>M22*O23*1000</f>
        <v>0.90821826048549836</v>
      </c>
      <c r="N23" s="524"/>
      <c r="O23" s="74" t="str">
        <f>IF(O22&gt;0,"2.00",TINV(0.0455,O22))</f>
        <v>2.00</v>
      </c>
      <c r="Q23" s="262" t="s">
        <v>164</v>
      </c>
      <c r="R23" s="263" t="s">
        <v>165</v>
      </c>
      <c r="S23" s="7"/>
      <c r="T23" s="258" t="s">
        <v>162</v>
      </c>
      <c r="U23" s="7" t="s">
        <v>166</v>
      </c>
      <c r="V23" s="258" t="s">
        <v>163</v>
      </c>
      <c r="W23" s="7" t="s">
        <v>167</v>
      </c>
      <c r="X23" s="7" t="s">
        <v>168</v>
      </c>
      <c r="AO23" s="72"/>
      <c r="AV23" s="51"/>
      <c r="AW23" s="51"/>
      <c r="AX23" s="51"/>
    </row>
    <row r="24" spans="1:50" s="66" customFormat="1" ht="18" hidden="1" customHeight="1">
      <c r="B24" s="75">
        <v>25</v>
      </c>
      <c r="C24" s="76">
        <v>0</v>
      </c>
      <c r="D24" s="77">
        <f t="shared" ref="D24:D39" si="0">C24/1</f>
        <v>0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8">
        <f>'[4]Cert of STD'!J18</f>
        <v>1.2</v>
      </c>
      <c r="Q24" s="79">
        <f t="shared" ref="Q24:Q39" si="1">P24/2</f>
        <v>0.6</v>
      </c>
      <c r="R24" s="78">
        <f>'[4]Cert of STD'!D14</f>
        <v>0.27</v>
      </c>
      <c r="S24" s="79">
        <f t="shared" ref="S24:S39" si="2">R24/2</f>
        <v>0.13500000000000001</v>
      </c>
      <c r="T24" s="80">
        <f t="shared" ref="T24" si="3">Y52*2</f>
        <v>0</v>
      </c>
      <c r="U24" s="81">
        <f t="shared" ref="U24:U39" si="4">T24/SQRT(3)</f>
        <v>0</v>
      </c>
      <c r="V24" s="82">
        <f>(1/16)*[4]Data!E28</f>
        <v>0</v>
      </c>
      <c r="W24" s="81">
        <f t="shared" ref="W24:Y39" si="5">(V24/SQRT(3))</f>
        <v>0</v>
      </c>
      <c r="X24" s="76" t="e">
        <f>#REF!</f>
        <v>#REF!</v>
      </c>
      <c r="Y24" s="81" t="e">
        <f t="shared" si="5"/>
        <v>#REF!</v>
      </c>
      <c r="Z24" s="81">
        <v>1</v>
      </c>
      <c r="AA24" s="83">
        <f t="shared" ref="AA24:AA39" si="6">Z24/SQRT(3)</f>
        <v>0.57735026918962584</v>
      </c>
      <c r="AB24" s="77" t="e">
        <f>#REF!</f>
        <v>#REF!</v>
      </c>
      <c r="AC24" s="84" t="e">
        <f t="shared" ref="AC24:AC39" si="7">AB24*((2*3.14)/360)*(15/60)*(1/SQRT(3))*10^6</f>
        <v>#REF!</v>
      </c>
      <c r="AD24" s="83" t="e">
        <f>#REF!</f>
        <v>#REF!</v>
      </c>
      <c r="AE24" s="83" t="e">
        <f t="shared" ref="AE24:AE39" si="8">AD24/SQRT(3)</f>
        <v>#REF!</v>
      </c>
      <c r="AF24" s="85">
        <f>((0.7)*(11.5*10^-6)*1)</f>
        <v>8.0499999999999992E-6</v>
      </c>
      <c r="AG24" s="77">
        <f t="shared" ref="AG24:AG39" si="9">AF24/SQRT(3)</f>
        <v>4.647669666976487E-6</v>
      </c>
      <c r="AH24" s="77" t="e">
        <f t="shared" ref="AH24:AH39" si="10">SQRT(D24^2+Q24^2+S24^2+U24^2+W24^2+Y24^2+AA24^2+AC24^2+AE24^2+AG24^2)</f>
        <v>#REF!</v>
      </c>
      <c r="AI24" s="86">
        <f t="shared" ref="AI24:AI39" si="11">D24/1</f>
        <v>0</v>
      </c>
      <c r="AJ24" s="71" t="e">
        <f t="shared" ref="AJ24:AJ39" si="12">(AH24^4)/(((IF(AI24&lt;=0,0.001,AI24)^4)/9))</f>
        <v>#REF!</v>
      </c>
      <c r="AK24" s="74" t="e">
        <f t="shared" ref="AK24:AK39" si="13">IF(AJ24&gt;0,"2.00",TINV(0.0455,AJ24))</f>
        <v>#REF!</v>
      </c>
      <c r="AL24" s="87" t="e">
        <f t="shared" ref="AL24:AL39" si="14">AH24*2</f>
        <v>#REF!</v>
      </c>
      <c r="AO24" s="72"/>
      <c r="AV24" s="51"/>
      <c r="AW24" s="51"/>
      <c r="AX24" s="51"/>
    </row>
    <row r="25" spans="1:50" s="66" customFormat="1" ht="18" hidden="1" customHeight="1">
      <c r="B25" s="75">
        <v>30</v>
      </c>
      <c r="C25" s="76">
        <v>0</v>
      </c>
      <c r="D25" s="77">
        <f t="shared" si="0"/>
        <v>0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>
        <f>'[4]Cert of STD'!J20</f>
        <v>1.4</v>
      </c>
      <c r="Q25" s="79">
        <f t="shared" si="1"/>
        <v>0.7</v>
      </c>
      <c r="R25" s="78">
        <f>'[4]Cert of STD'!D14</f>
        <v>0.27</v>
      </c>
      <c r="S25" s="79">
        <f t="shared" si="2"/>
        <v>0.13500000000000001</v>
      </c>
      <c r="T25" s="80" t="e">
        <f>#REF!*2</f>
        <v>#REF!</v>
      </c>
      <c r="U25" s="81" t="e">
        <f t="shared" si="4"/>
        <v>#REF!</v>
      </c>
      <c r="V25" s="82">
        <f>(1/16)*[4]Data!E29</f>
        <v>0</v>
      </c>
      <c r="W25" s="81">
        <f t="shared" si="5"/>
        <v>0</v>
      </c>
      <c r="X25" s="76" t="e">
        <f t="shared" ref="X25:X29" si="15">X24</f>
        <v>#REF!</v>
      </c>
      <c r="Y25" s="81" t="e">
        <f t="shared" si="5"/>
        <v>#REF!</v>
      </c>
      <c r="Z25" s="81">
        <v>1</v>
      </c>
      <c r="AA25" s="83">
        <f t="shared" si="6"/>
        <v>0.57735026918962584</v>
      </c>
      <c r="AB25" s="77" t="e">
        <f t="shared" ref="AB25:AB29" si="16">AB24</f>
        <v>#REF!</v>
      </c>
      <c r="AC25" s="84" t="e">
        <f t="shared" si="7"/>
        <v>#REF!</v>
      </c>
      <c r="AD25" s="83" t="e">
        <f t="shared" ref="AD25:AD28" si="17">AD24</f>
        <v>#REF!</v>
      </c>
      <c r="AE25" s="83" t="e">
        <f t="shared" si="8"/>
        <v>#REF!</v>
      </c>
      <c r="AF25" s="85">
        <f>((0.75)*(11.5*10^-6)*1)</f>
        <v>8.6249999999999996E-6</v>
      </c>
      <c r="AG25" s="77">
        <f t="shared" si="9"/>
        <v>4.9796460717605226E-6</v>
      </c>
      <c r="AH25" s="77" t="e">
        <f t="shared" si="10"/>
        <v>#REF!</v>
      </c>
      <c r="AI25" s="86">
        <f t="shared" si="11"/>
        <v>0</v>
      </c>
      <c r="AJ25" s="71" t="e">
        <f t="shared" si="12"/>
        <v>#REF!</v>
      </c>
      <c r="AK25" s="74" t="e">
        <f t="shared" si="13"/>
        <v>#REF!</v>
      </c>
      <c r="AL25" s="87" t="e">
        <f t="shared" si="14"/>
        <v>#REF!</v>
      </c>
      <c r="AO25" s="72"/>
      <c r="AV25" s="51"/>
      <c r="AW25" s="51"/>
      <c r="AX25" s="51"/>
    </row>
    <row r="26" spans="1:50" s="66" customFormat="1" ht="18" hidden="1" customHeight="1">
      <c r="B26" s="75">
        <v>75</v>
      </c>
      <c r="C26" s="76">
        <v>0</v>
      </c>
      <c r="D26" s="77">
        <f t="shared" si="0"/>
        <v>0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>
        <f>'[4]Cert of STD'!J21</f>
        <v>2.8</v>
      </c>
      <c r="Q26" s="79">
        <f t="shared" si="1"/>
        <v>1.4</v>
      </c>
      <c r="R26" s="78">
        <f>'[4]Cert of STD'!D19</f>
        <v>0.39</v>
      </c>
      <c r="S26" s="79">
        <f t="shared" si="2"/>
        <v>0.19500000000000001</v>
      </c>
      <c r="T26" s="80" t="e">
        <f>#REF!*2</f>
        <v>#REF!</v>
      </c>
      <c r="U26" s="81" t="e">
        <f t="shared" si="4"/>
        <v>#REF!</v>
      </c>
      <c r="V26" s="82">
        <f>(1/16)*[4]Data!E30</f>
        <v>0</v>
      </c>
      <c r="W26" s="81">
        <f t="shared" si="5"/>
        <v>0</v>
      </c>
      <c r="X26" s="76" t="e">
        <f t="shared" si="15"/>
        <v>#REF!</v>
      </c>
      <c r="Y26" s="81" t="e">
        <f t="shared" si="5"/>
        <v>#REF!</v>
      </c>
      <c r="Z26" s="81">
        <v>1</v>
      </c>
      <c r="AA26" s="83">
        <f t="shared" si="6"/>
        <v>0.57735026918962584</v>
      </c>
      <c r="AB26" s="77" t="e">
        <f t="shared" si="16"/>
        <v>#REF!</v>
      </c>
      <c r="AC26" s="84" t="e">
        <f t="shared" si="7"/>
        <v>#REF!</v>
      </c>
      <c r="AD26" s="83" t="e">
        <f t="shared" si="17"/>
        <v>#REF!</v>
      </c>
      <c r="AE26" s="83" t="e">
        <f t="shared" si="8"/>
        <v>#REF!</v>
      </c>
      <c r="AF26" s="85">
        <f>((0.8)*(11.5*10^-6)*1)</f>
        <v>9.2E-6</v>
      </c>
      <c r="AG26" s="77">
        <f t="shared" si="9"/>
        <v>5.3116224765445574E-6</v>
      </c>
      <c r="AH26" s="77" t="e">
        <f t="shared" si="10"/>
        <v>#REF!</v>
      </c>
      <c r="AI26" s="86">
        <f t="shared" si="11"/>
        <v>0</v>
      </c>
      <c r="AJ26" s="71" t="e">
        <f t="shared" si="12"/>
        <v>#REF!</v>
      </c>
      <c r="AK26" s="74" t="e">
        <f t="shared" si="13"/>
        <v>#REF!</v>
      </c>
      <c r="AL26" s="87" t="e">
        <f t="shared" si="14"/>
        <v>#REF!</v>
      </c>
      <c r="AO26" s="72"/>
      <c r="AV26" s="51"/>
      <c r="AW26" s="51"/>
      <c r="AX26" s="51"/>
    </row>
    <row r="27" spans="1:50" s="66" customFormat="1" ht="18" hidden="1" customHeight="1">
      <c r="B27" s="75">
        <v>90</v>
      </c>
      <c r="C27" s="76">
        <v>0</v>
      </c>
      <c r="D27" s="77">
        <f t="shared" si="0"/>
        <v>0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8">
        <f t="shared" ref="P27:P29" si="18">P26</f>
        <v>2.8</v>
      </c>
      <c r="Q27" s="79">
        <f t="shared" si="1"/>
        <v>1.4</v>
      </c>
      <c r="R27" s="78">
        <f>'[4]Cert of STD'!D20</f>
        <v>0.39</v>
      </c>
      <c r="S27" s="79">
        <f t="shared" si="2"/>
        <v>0.19500000000000001</v>
      </c>
      <c r="T27" s="80" t="e">
        <f>#REF!*2</f>
        <v>#REF!</v>
      </c>
      <c r="U27" s="81" t="e">
        <f t="shared" si="4"/>
        <v>#REF!</v>
      </c>
      <c r="V27" s="82">
        <f>(1/16)*[4]Data!E31</f>
        <v>0</v>
      </c>
      <c r="W27" s="81">
        <f t="shared" si="5"/>
        <v>0</v>
      </c>
      <c r="X27" s="76" t="e">
        <f t="shared" si="15"/>
        <v>#REF!</v>
      </c>
      <c r="Y27" s="81" t="e">
        <f t="shared" si="5"/>
        <v>#REF!</v>
      </c>
      <c r="Z27" s="81">
        <v>1</v>
      </c>
      <c r="AA27" s="83">
        <f t="shared" si="6"/>
        <v>0.57735026918962584</v>
      </c>
      <c r="AB27" s="77" t="e">
        <f t="shared" si="16"/>
        <v>#REF!</v>
      </c>
      <c r="AC27" s="84" t="e">
        <f t="shared" si="7"/>
        <v>#REF!</v>
      </c>
      <c r="AD27" s="83" t="e">
        <f t="shared" si="17"/>
        <v>#REF!</v>
      </c>
      <c r="AE27" s="83" t="e">
        <f t="shared" si="8"/>
        <v>#REF!</v>
      </c>
      <c r="AF27" s="85">
        <f>((1)*(11.5*10^-6)*1)</f>
        <v>1.15E-5</v>
      </c>
      <c r="AG27" s="77">
        <f t="shared" si="9"/>
        <v>6.6395280956806965E-6</v>
      </c>
      <c r="AH27" s="77" t="e">
        <f t="shared" si="10"/>
        <v>#REF!</v>
      </c>
      <c r="AI27" s="86">
        <f t="shared" si="11"/>
        <v>0</v>
      </c>
      <c r="AJ27" s="71" t="e">
        <f t="shared" si="12"/>
        <v>#REF!</v>
      </c>
      <c r="AK27" s="74" t="e">
        <f t="shared" si="13"/>
        <v>#REF!</v>
      </c>
      <c r="AL27" s="87" t="e">
        <f t="shared" si="14"/>
        <v>#REF!</v>
      </c>
      <c r="AV27" s="51"/>
      <c r="AW27" s="51"/>
      <c r="AX27" s="51"/>
    </row>
    <row r="28" spans="1:50" s="66" customFormat="1" ht="18" hidden="1" customHeight="1">
      <c r="B28" s="75">
        <v>100</v>
      </c>
      <c r="C28" s="76">
        <v>0</v>
      </c>
      <c r="D28" s="77">
        <f t="shared" si="0"/>
        <v>0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8">
        <f t="shared" si="18"/>
        <v>2.8</v>
      </c>
      <c r="Q28" s="79">
        <f t="shared" si="1"/>
        <v>1.4</v>
      </c>
      <c r="R28" s="78">
        <f>'[4]Cert of STD'!D21</f>
        <v>0.39</v>
      </c>
      <c r="S28" s="79">
        <f t="shared" si="2"/>
        <v>0.19500000000000001</v>
      </c>
      <c r="T28" s="80" t="e">
        <f>#REF!*2</f>
        <v>#REF!</v>
      </c>
      <c r="U28" s="81" t="e">
        <f t="shared" si="4"/>
        <v>#REF!</v>
      </c>
      <c r="V28" s="82">
        <f>(1/16)*[4]Data!E32</f>
        <v>0</v>
      </c>
      <c r="W28" s="81">
        <f t="shared" si="5"/>
        <v>0</v>
      </c>
      <c r="X28" s="76" t="e">
        <f t="shared" si="15"/>
        <v>#REF!</v>
      </c>
      <c r="Y28" s="81" t="e">
        <f t="shared" si="5"/>
        <v>#REF!</v>
      </c>
      <c r="Z28" s="81">
        <v>1</v>
      </c>
      <c r="AA28" s="83">
        <f t="shared" si="6"/>
        <v>0.57735026918962584</v>
      </c>
      <c r="AB28" s="77" t="e">
        <f t="shared" si="16"/>
        <v>#REF!</v>
      </c>
      <c r="AC28" s="84" t="e">
        <f t="shared" si="7"/>
        <v>#REF!</v>
      </c>
      <c r="AD28" s="83" t="e">
        <f t="shared" si="17"/>
        <v>#REF!</v>
      </c>
      <c r="AE28" s="83" t="e">
        <f t="shared" si="8"/>
        <v>#REF!</v>
      </c>
      <c r="AF28" s="85">
        <f>((1.25)*(11.5*10^-6)*1)</f>
        <v>1.4375E-5</v>
      </c>
      <c r="AG28" s="77">
        <f t="shared" si="9"/>
        <v>8.2994101196008704E-6</v>
      </c>
      <c r="AH28" s="77" t="e">
        <f t="shared" si="10"/>
        <v>#REF!</v>
      </c>
      <c r="AI28" s="86">
        <f t="shared" si="11"/>
        <v>0</v>
      </c>
      <c r="AJ28" s="71" t="e">
        <f t="shared" si="12"/>
        <v>#REF!</v>
      </c>
      <c r="AK28" s="74" t="e">
        <f t="shared" si="13"/>
        <v>#REF!</v>
      </c>
      <c r="AL28" s="87" t="e">
        <f t="shared" si="14"/>
        <v>#REF!</v>
      </c>
      <c r="AV28" s="51"/>
      <c r="AW28" s="51"/>
      <c r="AX28" s="51"/>
    </row>
    <row r="29" spans="1:50" s="66" customFormat="1" ht="18" hidden="1" customHeight="1">
      <c r="A29" s="51"/>
      <c r="B29" s="75">
        <v>125</v>
      </c>
      <c r="C29" s="76">
        <v>0</v>
      </c>
      <c r="D29" s="77">
        <f t="shared" si="0"/>
        <v>0</v>
      </c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8">
        <f t="shared" si="18"/>
        <v>2.8</v>
      </c>
      <c r="Q29" s="79">
        <f t="shared" si="1"/>
        <v>1.4</v>
      </c>
      <c r="R29" s="78">
        <f>'[4]Cert of STD'!D21</f>
        <v>0.39</v>
      </c>
      <c r="S29" s="79">
        <f t="shared" si="2"/>
        <v>0.19500000000000001</v>
      </c>
      <c r="T29" s="80" t="e">
        <f>#REF!*2</f>
        <v>#REF!</v>
      </c>
      <c r="U29" s="81" t="e">
        <f t="shared" si="4"/>
        <v>#REF!</v>
      </c>
      <c r="V29" s="82">
        <f>(1/16)*[4]Data!E33</f>
        <v>0</v>
      </c>
      <c r="W29" s="81">
        <f t="shared" si="5"/>
        <v>0</v>
      </c>
      <c r="X29" s="76" t="e">
        <f t="shared" si="15"/>
        <v>#REF!</v>
      </c>
      <c r="Y29" s="81" t="e">
        <f t="shared" si="5"/>
        <v>#REF!</v>
      </c>
      <c r="Z29" s="81">
        <v>1</v>
      </c>
      <c r="AA29" s="83">
        <f t="shared" si="6"/>
        <v>0.57735026918962584</v>
      </c>
      <c r="AB29" s="77" t="e">
        <f t="shared" si="16"/>
        <v>#REF!</v>
      </c>
      <c r="AC29" s="84" t="e">
        <f t="shared" si="7"/>
        <v>#REF!</v>
      </c>
      <c r="AD29" s="83" t="e">
        <f>AD28</f>
        <v>#REF!</v>
      </c>
      <c r="AE29" s="83" t="e">
        <f t="shared" si="8"/>
        <v>#REF!</v>
      </c>
      <c r="AF29" s="85">
        <f>(([4]Data!L31)*(11.5*10^-6)*1)</f>
        <v>1.15011845E-4</v>
      </c>
      <c r="AG29" s="77">
        <f t="shared" si="9"/>
        <v>6.6402119670745514E-5</v>
      </c>
      <c r="AH29" s="77" t="e">
        <f t="shared" si="10"/>
        <v>#REF!</v>
      </c>
      <c r="AI29" s="86">
        <f t="shared" si="11"/>
        <v>0</v>
      </c>
      <c r="AJ29" s="71" t="e">
        <f t="shared" si="12"/>
        <v>#REF!</v>
      </c>
      <c r="AK29" s="74" t="e">
        <f t="shared" si="13"/>
        <v>#REF!</v>
      </c>
      <c r="AL29" s="87" t="e">
        <f t="shared" si="14"/>
        <v>#REF!</v>
      </c>
      <c r="AV29" s="51"/>
      <c r="AW29" s="51"/>
      <c r="AX29" s="51"/>
    </row>
    <row r="30" spans="1:50" s="66" customFormat="1" ht="18" hidden="1" customHeight="1">
      <c r="A30" s="51"/>
      <c r="B30" s="75">
        <v>150</v>
      </c>
      <c r="C30" s="76">
        <v>0</v>
      </c>
      <c r="D30" s="77">
        <f t="shared" si="0"/>
        <v>0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>
        <f>P29</f>
        <v>2.8</v>
      </c>
      <c r="Q30" s="79">
        <f t="shared" si="1"/>
        <v>1.4</v>
      </c>
      <c r="R30" s="78">
        <f>'[4]Cert of STD'!D21</f>
        <v>0.39</v>
      </c>
      <c r="S30" s="79">
        <f t="shared" si="2"/>
        <v>0.19500000000000001</v>
      </c>
      <c r="T30" s="80" t="e">
        <f>#REF!*2</f>
        <v>#REF!</v>
      </c>
      <c r="U30" s="81" t="e">
        <f t="shared" si="4"/>
        <v>#REF!</v>
      </c>
      <c r="V30" s="82">
        <f>(1/16)*[4]Data!E34</f>
        <v>0</v>
      </c>
      <c r="W30" s="81">
        <f t="shared" si="5"/>
        <v>0</v>
      </c>
      <c r="X30" s="76" t="e">
        <f>X29</f>
        <v>#REF!</v>
      </c>
      <c r="Y30" s="81" t="e">
        <f t="shared" si="5"/>
        <v>#REF!</v>
      </c>
      <c r="Z30" s="81">
        <v>1</v>
      </c>
      <c r="AA30" s="83">
        <f t="shared" si="6"/>
        <v>0.57735026918962584</v>
      </c>
      <c r="AB30" s="77" t="e">
        <f>AB29</f>
        <v>#REF!</v>
      </c>
      <c r="AC30" s="84" t="e">
        <f t="shared" si="7"/>
        <v>#REF!</v>
      </c>
      <c r="AD30" s="83" t="e">
        <f>AD29</f>
        <v>#REF!</v>
      </c>
      <c r="AE30" s="83" t="e">
        <f t="shared" si="8"/>
        <v>#REF!</v>
      </c>
      <c r="AF30" s="85">
        <f>(([4]Data!L32)*(11.5*10^-6)*1)</f>
        <v>0</v>
      </c>
      <c r="AG30" s="77">
        <f t="shared" si="9"/>
        <v>0</v>
      </c>
      <c r="AH30" s="77" t="e">
        <f t="shared" si="10"/>
        <v>#REF!</v>
      </c>
      <c r="AI30" s="86">
        <f t="shared" si="11"/>
        <v>0</v>
      </c>
      <c r="AJ30" s="71" t="e">
        <f t="shared" si="12"/>
        <v>#REF!</v>
      </c>
      <c r="AK30" s="74" t="e">
        <f t="shared" si="13"/>
        <v>#REF!</v>
      </c>
      <c r="AL30" s="87" t="e">
        <f t="shared" si="14"/>
        <v>#REF!</v>
      </c>
      <c r="AV30" s="51"/>
      <c r="AW30" s="51"/>
      <c r="AX30" s="51"/>
    </row>
    <row r="31" spans="1:50" s="66" customFormat="1" ht="18" hidden="1" customHeight="1">
      <c r="A31" s="51"/>
      <c r="B31" s="75">
        <v>150</v>
      </c>
      <c r="C31" s="76">
        <v>0</v>
      </c>
      <c r="D31" s="77">
        <f t="shared" si="0"/>
        <v>0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>
        <f t="shared" ref="P31:P35" si="19">P30</f>
        <v>2.8</v>
      </c>
      <c r="Q31" s="79">
        <f t="shared" si="1"/>
        <v>1.4</v>
      </c>
      <c r="R31" s="78">
        <f>'[4]Cert of STD'!D22</f>
        <v>0</v>
      </c>
      <c r="S31" s="79">
        <f t="shared" si="2"/>
        <v>0</v>
      </c>
      <c r="T31" s="80" t="e">
        <f>#REF!*2</f>
        <v>#REF!</v>
      </c>
      <c r="U31" s="81" t="e">
        <f t="shared" si="4"/>
        <v>#REF!</v>
      </c>
      <c r="V31" s="82">
        <f>(1/16)*[4]Data!E35</f>
        <v>0</v>
      </c>
      <c r="W31" s="81">
        <f t="shared" si="5"/>
        <v>0</v>
      </c>
      <c r="X31" s="76" t="e">
        <f t="shared" ref="X31:X35" si="20">X30</f>
        <v>#REF!</v>
      </c>
      <c r="Y31" s="81" t="e">
        <f t="shared" si="5"/>
        <v>#REF!</v>
      </c>
      <c r="Z31" s="81">
        <v>1</v>
      </c>
      <c r="AA31" s="83">
        <f t="shared" si="6"/>
        <v>0.57735026918962584</v>
      </c>
      <c r="AB31" s="77" t="e">
        <f t="shared" ref="AB31:AB35" si="21">AB30</f>
        <v>#REF!</v>
      </c>
      <c r="AC31" s="84" t="e">
        <f t="shared" si="7"/>
        <v>#REF!</v>
      </c>
      <c r="AD31" s="83" t="e">
        <f t="shared" ref="AD31:AD35" si="22">AD30</f>
        <v>#REF!</v>
      </c>
      <c r="AE31" s="83" t="e">
        <f t="shared" si="8"/>
        <v>#REF!</v>
      </c>
      <c r="AF31" s="85">
        <f>(([4]Data!L33)*(11.5*10^-6)*1)</f>
        <v>2.8750000000000001E-5</v>
      </c>
      <c r="AG31" s="77">
        <f t="shared" si="9"/>
        <v>1.6598820239201741E-5</v>
      </c>
      <c r="AH31" s="77" t="e">
        <f t="shared" si="10"/>
        <v>#REF!</v>
      </c>
      <c r="AI31" s="86">
        <f t="shared" si="11"/>
        <v>0</v>
      </c>
      <c r="AJ31" s="71" t="e">
        <f t="shared" si="12"/>
        <v>#REF!</v>
      </c>
      <c r="AK31" s="74" t="e">
        <f t="shared" si="13"/>
        <v>#REF!</v>
      </c>
      <c r="AL31" s="87" t="e">
        <f t="shared" si="14"/>
        <v>#REF!</v>
      </c>
      <c r="AM31" s="88"/>
      <c r="AN31" s="89"/>
      <c r="AV31" s="51"/>
      <c r="AW31" s="51"/>
      <c r="AX31" s="51"/>
    </row>
    <row r="32" spans="1:50" s="66" customFormat="1" ht="18" hidden="1" customHeight="1">
      <c r="A32" s="51"/>
      <c r="B32" s="75">
        <v>150</v>
      </c>
      <c r="C32" s="76">
        <v>0</v>
      </c>
      <c r="D32" s="77">
        <f t="shared" si="0"/>
        <v>0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8">
        <f t="shared" si="19"/>
        <v>2.8</v>
      </c>
      <c r="Q32" s="79">
        <f t="shared" si="1"/>
        <v>1.4</v>
      </c>
      <c r="R32" s="78">
        <f>'[4]Cert of STD'!D23</f>
        <v>0</v>
      </c>
      <c r="S32" s="79">
        <f t="shared" si="2"/>
        <v>0</v>
      </c>
      <c r="T32" s="80" t="e">
        <f>#REF!*2</f>
        <v>#REF!</v>
      </c>
      <c r="U32" s="81" t="e">
        <f t="shared" si="4"/>
        <v>#REF!</v>
      </c>
      <c r="V32" s="82">
        <f>(1/16)*[4]Data!E36</f>
        <v>0</v>
      </c>
      <c r="W32" s="81">
        <f t="shared" si="5"/>
        <v>0</v>
      </c>
      <c r="X32" s="76" t="e">
        <f t="shared" si="20"/>
        <v>#REF!</v>
      </c>
      <c r="Y32" s="81" t="e">
        <f t="shared" si="5"/>
        <v>#REF!</v>
      </c>
      <c r="Z32" s="81">
        <v>1</v>
      </c>
      <c r="AA32" s="83">
        <f t="shared" si="6"/>
        <v>0.57735026918962584</v>
      </c>
      <c r="AB32" s="77" t="e">
        <f t="shared" si="21"/>
        <v>#REF!</v>
      </c>
      <c r="AC32" s="84" t="e">
        <f t="shared" si="7"/>
        <v>#REF!</v>
      </c>
      <c r="AD32" s="83" t="e">
        <f t="shared" si="22"/>
        <v>#REF!</v>
      </c>
      <c r="AE32" s="83" t="e">
        <f t="shared" si="8"/>
        <v>#REF!</v>
      </c>
      <c r="AF32" s="85">
        <f>(([4]Data!L34)*(11.5*10^-6)*1)</f>
        <v>0</v>
      </c>
      <c r="AG32" s="77">
        <f t="shared" si="9"/>
        <v>0</v>
      </c>
      <c r="AH32" s="77" t="e">
        <f t="shared" si="10"/>
        <v>#REF!</v>
      </c>
      <c r="AI32" s="86">
        <f t="shared" si="11"/>
        <v>0</v>
      </c>
      <c r="AJ32" s="71" t="e">
        <f t="shared" si="12"/>
        <v>#REF!</v>
      </c>
      <c r="AK32" s="74" t="e">
        <f t="shared" si="13"/>
        <v>#REF!</v>
      </c>
      <c r="AL32" s="87" t="e">
        <f t="shared" si="14"/>
        <v>#REF!</v>
      </c>
      <c r="AM32" s="7"/>
      <c r="AN32" s="7"/>
      <c r="AV32" s="51"/>
      <c r="AW32" s="51"/>
      <c r="AX32" s="51"/>
    </row>
    <row r="33" spans="2:40" s="13" customFormat="1" ht="18" hidden="1" customHeight="1">
      <c r="B33" s="75">
        <v>150</v>
      </c>
      <c r="C33" s="76">
        <v>0</v>
      </c>
      <c r="D33" s="77">
        <f t="shared" si="0"/>
        <v>0</v>
      </c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8">
        <f t="shared" si="19"/>
        <v>2.8</v>
      </c>
      <c r="Q33" s="79">
        <f t="shared" si="1"/>
        <v>1.4</v>
      </c>
      <c r="R33" s="78">
        <f>'[4]Cert of STD'!D24</f>
        <v>0</v>
      </c>
      <c r="S33" s="79">
        <f t="shared" si="2"/>
        <v>0</v>
      </c>
      <c r="T33" s="80" t="e">
        <f>#REF!*2</f>
        <v>#REF!</v>
      </c>
      <c r="U33" s="81" t="e">
        <f t="shared" si="4"/>
        <v>#REF!</v>
      </c>
      <c r="V33" s="82">
        <f>(1/16)*[4]Data!E37</f>
        <v>0</v>
      </c>
      <c r="W33" s="81">
        <f t="shared" si="5"/>
        <v>0</v>
      </c>
      <c r="X33" s="76" t="e">
        <f t="shared" si="20"/>
        <v>#REF!</v>
      </c>
      <c r="Y33" s="81" t="e">
        <f t="shared" si="5"/>
        <v>#REF!</v>
      </c>
      <c r="Z33" s="81">
        <v>1</v>
      </c>
      <c r="AA33" s="83">
        <f t="shared" si="6"/>
        <v>0.57735026918962584</v>
      </c>
      <c r="AB33" s="77" t="e">
        <f t="shared" si="21"/>
        <v>#REF!</v>
      </c>
      <c r="AC33" s="84" t="e">
        <f t="shared" si="7"/>
        <v>#REF!</v>
      </c>
      <c r="AD33" s="83" t="e">
        <f t="shared" si="22"/>
        <v>#REF!</v>
      </c>
      <c r="AE33" s="83" t="e">
        <f t="shared" si="8"/>
        <v>#REF!</v>
      </c>
      <c r="AF33" s="85">
        <f>(([4]Data!L35)*(11.5*10^-6)*1)</f>
        <v>0</v>
      </c>
      <c r="AG33" s="77">
        <f t="shared" si="9"/>
        <v>0</v>
      </c>
      <c r="AH33" s="77" t="e">
        <f t="shared" si="10"/>
        <v>#REF!</v>
      </c>
      <c r="AI33" s="86">
        <f t="shared" si="11"/>
        <v>0</v>
      </c>
      <c r="AJ33" s="71" t="e">
        <f t="shared" si="12"/>
        <v>#REF!</v>
      </c>
      <c r="AK33" s="74" t="e">
        <f t="shared" si="13"/>
        <v>#REF!</v>
      </c>
      <c r="AL33" s="87" t="e">
        <f t="shared" si="14"/>
        <v>#REF!</v>
      </c>
      <c r="AM33" s="7"/>
      <c r="AN33" s="7"/>
    </row>
    <row r="34" spans="2:40" s="13" customFormat="1" ht="18" hidden="1" customHeight="1">
      <c r="B34" s="75">
        <v>150</v>
      </c>
      <c r="C34" s="76">
        <v>0</v>
      </c>
      <c r="D34" s="77">
        <f t="shared" si="0"/>
        <v>0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8">
        <f t="shared" si="19"/>
        <v>2.8</v>
      </c>
      <c r="Q34" s="79">
        <f t="shared" si="1"/>
        <v>1.4</v>
      </c>
      <c r="R34" s="78">
        <f>'[4]Cert of STD'!D25</f>
        <v>0</v>
      </c>
      <c r="S34" s="79">
        <f t="shared" si="2"/>
        <v>0</v>
      </c>
      <c r="T34" s="80" t="e">
        <f>#REF!*2</f>
        <v>#REF!</v>
      </c>
      <c r="U34" s="81" t="e">
        <f t="shared" si="4"/>
        <v>#REF!</v>
      </c>
      <c r="V34" s="82">
        <f>(1/16)*[4]Data!E38</f>
        <v>0</v>
      </c>
      <c r="W34" s="81">
        <f t="shared" si="5"/>
        <v>0</v>
      </c>
      <c r="X34" s="76" t="e">
        <f t="shared" si="20"/>
        <v>#REF!</v>
      </c>
      <c r="Y34" s="81" t="e">
        <f t="shared" si="5"/>
        <v>#REF!</v>
      </c>
      <c r="Z34" s="81">
        <v>1</v>
      </c>
      <c r="AA34" s="83">
        <f t="shared" si="6"/>
        <v>0.57735026918962584</v>
      </c>
      <c r="AB34" s="77" t="e">
        <f t="shared" si="21"/>
        <v>#REF!</v>
      </c>
      <c r="AC34" s="84" t="e">
        <f t="shared" si="7"/>
        <v>#REF!</v>
      </c>
      <c r="AD34" s="83" t="e">
        <f t="shared" si="22"/>
        <v>#REF!</v>
      </c>
      <c r="AE34" s="83" t="e">
        <f t="shared" si="8"/>
        <v>#REF!</v>
      </c>
      <c r="AF34" s="85">
        <f>(([4]Data!L36)*(11.5*10^-6)*1)</f>
        <v>0</v>
      </c>
      <c r="AG34" s="77">
        <f t="shared" si="9"/>
        <v>0</v>
      </c>
      <c r="AH34" s="77" t="e">
        <f t="shared" si="10"/>
        <v>#REF!</v>
      </c>
      <c r="AI34" s="86">
        <f t="shared" si="11"/>
        <v>0</v>
      </c>
      <c r="AJ34" s="71" t="e">
        <f t="shared" si="12"/>
        <v>#REF!</v>
      </c>
      <c r="AK34" s="74" t="e">
        <f t="shared" si="13"/>
        <v>#REF!</v>
      </c>
      <c r="AL34" s="87" t="e">
        <f t="shared" si="14"/>
        <v>#REF!</v>
      </c>
      <c r="AM34" s="7"/>
      <c r="AN34" s="7"/>
    </row>
    <row r="35" spans="2:40" s="13" customFormat="1" ht="18" hidden="1" customHeight="1">
      <c r="B35" s="75">
        <v>150</v>
      </c>
      <c r="C35" s="76">
        <v>0</v>
      </c>
      <c r="D35" s="77">
        <f t="shared" si="0"/>
        <v>0</v>
      </c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8">
        <f t="shared" si="19"/>
        <v>2.8</v>
      </c>
      <c r="Q35" s="79">
        <f t="shared" si="1"/>
        <v>1.4</v>
      </c>
      <c r="R35" s="78">
        <f>'[4]Cert of STD'!D26</f>
        <v>0</v>
      </c>
      <c r="S35" s="79">
        <f t="shared" si="2"/>
        <v>0</v>
      </c>
      <c r="T35" s="80" t="e">
        <f>#REF!*2</f>
        <v>#REF!</v>
      </c>
      <c r="U35" s="81" t="e">
        <f t="shared" si="4"/>
        <v>#REF!</v>
      </c>
      <c r="V35" s="82">
        <f>(1/16)*[4]Data!E39</f>
        <v>0</v>
      </c>
      <c r="W35" s="81">
        <f t="shared" si="5"/>
        <v>0</v>
      </c>
      <c r="X35" s="76" t="e">
        <f t="shared" si="20"/>
        <v>#REF!</v>
      </c>
      <c r="Y35" s="81" t="e">
        <f t="shared" si="5"/>
        <v>#REF!</v>
      </c>
      <c r="Z35" s="81">
        <v>1</v>
      </c>
      <c r="AA35" s="83">
        <f t="shared" si="6"/>
        <v>0.57735026918962584</v>
      </c>
      <c r="AB35" s="77" t="e">
        <f t="shared" si="21"/>
        <v>#REF!</v>
      </c>
      <c r="AC35" s="84" t="e">
        <f t="shared" si="7"/>
        <v>#REF!</v>
      </c>
      <c r="AD35" s="83" t="e">
        <f t="shared" si="22"/>
        <v>#REF!</v>
      </c>
      <c r="AE35" s="83" t="e">
        <f t="shared" si="8"/>
        <v>#REF!</v>
      </c>
      <c r="AF35" s="85">
        <f>(([4]Data!L37)*(11.5*10^-6)*1)</f>
        <v>0</v>
      </c>
      <c r="AG35" s="77">
        <f t="shared" si="9"/>
        <v>0</v>
      </c>
      <c r="AH35" s="77" t="e">
        <f t="shared" si="10"/>
        <v>#REF!</v>
      </c>
      <c r="AI35" s="86">
        <f t="shared" si="11"/>
        <v>0</v>
      </c>
      <c r="AJ35" s="71" t="e">
        <f t="shared" si="12"/>
        <v>#REF!</v>
      </c>
      <c r="AK35" s="74" t="e">
        <f t="shared" si="13"/>
        <v>#REF!</v>
      </c>
      <c r="AL35" s="87" t="e">
        <f t="shared" si="14"/>
        <v>#REF!</v>
      </c>
      <c r="AM35" s="7"/>
      <c r="AN35" s="7"/>
    </row>
    <row r="36" spans="2:40" s="13" customFormat="1" ht="18" hidden="1" customHeight="1">
      <c r="B36" s="75">
        <v>150</v>
      </c>
      <c r="C36" s="76">
        <v>0</v>
      </c>
      <c r="D36" s="77">
        <f t="shared" si="0"/>
        <v>0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8">
        <f>P35</f>
        <v>2.8</v>
      </c>
      <c r="Q36" s="79">
        <f t="shared" si="1"/>
        <v>1.4</v>
      </c>
      <c r="R36" s="78">
        <f>'[4]Cert of STD'!D27</f>
        <v>0</v>
      </c>
      <c r="S36" s="79">
        <f t="shared" si="2"/>
        <v>0</v>
      </c>
      <c r="T36" s="80" t="e">
        <f>#REF!*2</f>
        <v>#REF!</v>
      </c>
      <c r="U36" s="81" t="e">
        <f t="shared" si="4"/>
        <v>#REF!</v>
      </c>
      <c r="V36" s="82">
        <f>(1/16)*[4]Data!E40</f>
        <v>0</v>
      </c>
      <c r="W36" s="81">
        <f t="shared" si="5"/>
        <v>0</v>
      </c>
      <c r="X36" s="76" t="e">
        <f>X35</f>
        <v>#REF!</v>
      </c>
      <c r="Y36" s="81" t="e">
        <f t="shared" si="5"/>
        <v>#REF!</v>
      </c>
      <c r="Z36" s="81">
        <v>1</v>
      </c>
      <c r="AA36" s="83">
        <f t="shared" si="6"/>
        <v>0.57735026918962584</v>
      </c>
      <c r="AB36" s="77" t="e">
        <f>AB35</f>
        <v>#REF!</v>
      </c>
      <c r="AC36" s="84" t="e">
        <f t="shared" si="7"/>
        <v>#REF!</v>
      </c>
      <c r="AD36" s="83" t="e">
        <f>AD35</f>
        <v>#REF!</v>
      </c>
      <c r="AE36" s="83" t="e">
        <f t="shared" si="8"/>
        <v>#REF!</v>
      </c>
      <c r="AF36" s="85">
        <f>(([4]Data!L38)*(11.5*10^-6)*1)</f>
        <v>0</v>
      </c>
      <c r="AG36" s="77">
        <f t="shared" si="9"/>
        <v>0</v>
      </c>
      <c r="AH36" s="77" t="e">
        <f t="shared" si="10"/>
        <v>#REF!</v>
      </c>
      <c r="AI36" s="86">
        <f t="shared" si="11"/>
        <v>0</v>
      </c>
      <c r="AJ36" s="71" t="e">
        <f t="shared" si="12"/>
        <v>#REF!</v>
      </c>
      <c r="AK36" s="74" t="e">
        <f t="shared" si="13"/>
        <v>#REF!</v>
      </c>
      <c r="AL36" s="87" t="e">
        <f t="shared" si="14"/>
        <v>#REF!</v>
      </c>
      <c r="AM36" s="7"/>
      <c r="AN36" s="7"/>
    </row>
    <row r="37" spans="2:40" s="13" customFormat="1" ht="18" hidden="1" customHeight="1">
      <c r="B37" s="75">
        <v>150</v>
      </c>
      <c r="C37" s="76">
        <v>0</v>
      </c>
      <c r="D37" s="77">
        <f t="shared" si="0"/>
        <v>0</v>
      </c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8">
        <f t="shared" ref="P37" si="23">P36</f>
        <v>2.8</v>
      </c>
      <c r="Q37" s="79">
        <f t="shared" si="1"/>
        <v>1.4</v>
      </c>
      <c r="R37" s="78">
        <f>'[4]Cert of STD'!D28</f>
        <v>0</v>
      </c>
      <c r="S37" s="79">
        <f t="shared" si="2"/>
        <v>0</v>
      </c>
      <c r="T37" s="80" t="e">
        <f>#REF!*2</f>
        <v>#REF!</v>
      </c>
      <c r="U37" s="81" t="e">
        <f t="shared" si="4"/>
        <v>#REF!</v>
      </c>
      <c r="V37" s="82">
        <f>(1/16)*[4]Data!E41</f>
        <v>0</v>
      </c>
      <c r="W37" s="81">
        <f t="shared" si="5"/>
        <v>0</v>
      </c>
      <c r="X37" s="76" t="e">
        <f t="shared" ref="X37" si="24">X36</f>
        <v>#REF!</v>
      </c>
      <c r="Y37" s="81" t="e">
        <f t="shared" si="5"/>
        <v>#REF!</v>
      </c>
      <c r="Z37" s="81">
        <v>1</v>
      </c>
      <c r="AA37" s="83">
        <f t="shared" si="6"/>
        <v>0.57735026918962584</v>
      </c>
      <c r="AB37" s="77" t="e">
        <f t="shared" ref="AB37" si="25">AB36</f>
        <v>#REF!</v>
      </c>
      <c r="AC37" s="84" t="e">
        <f t="shared" si="7"/>
        <v>#REF!</v>
      </c>
      <c r="AD37" s="83" t="e">
        <f t="shared" ref="AD37" si="26">AD36</f>
        <v>#REF!</v>
      </c>
      <c r="AE37" s="83" t="e">
        <f t="shared" si="8"/>
        <v>#REF!</v>
      </c>
      <c r="AF37" s="85">
        <f>(([4]Data!L39)*(11.5*10^-6)*1)</f>
        <v>2.3E-5</v>
      </c>
      <c r="AG37" s="77">
        <f t="shared" si="9"/>
        <v>1.3279056191361393E-5</v>
      </c>
      <c r="AH37" s="77" t="e">
        <f t="shared" si="10"/>
        <v>#REF!</v>
      </c>
      <c r="AI37" s="86">
        <f t="shared" si="11"/>
        <v>0</v>
      </c>
      <c r="AJ37" s="71" t="e">
        <f t="shared" si="12"/>
        <v>#REF!</v>
      </c>
      <c r="AK37" s="74" t="e">
        <f t="shared" si="13"/>
        <v>#REF!</v>
      </c>
      <c r="AL37" s="87" t="e">
        <f t="shared" si="14"/>
        <v>#REF!</v>
      </c>
      <c r="AM37" s="7"/>
      <c r="AN37" s="7"/>
    </row>
    <row r="38" spans="2:40" s="13" customFormat="1" ht="18" hidden="1" customHeight="1">
      <c r="B38" s="75">
        <v>150</v>
      </c>
      <c r="C38" s="76">
        <v>0</v>
      </c>
      <c r="D38" s="77">
        <f t="shared" si="0"/>
        <v>0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8">
        <f>P37</f>
        <v>2.8</v>
      </c>
      <c r="Q38" s="79">
        <f t="shared" si="1"/>
        <v>1.4</v>
      </c>
      <c r="R38" s="78">
        <f>'[4]Cert of STD'!D29</f>
        <v>0</v>
      </c>
      <c r="S38" s="79">
        <f t="shared" si="2"/>
        <v>0</v>
      </c>
      <c r="T38" s="80" t="e">
        <f>#REF!*2</f>
        <v>#REF!</v>
      </c>
      <c r="U38" s="81" t="e">
        <f t="shared" si="4"/>
        <v>#REF!</v>
      </c>
      <c r="V38" s="82">
        <f>(1/16)*[4]Data!E42</f>
        <v>0</v>
      </c>
      <c r="W38" s="81">
        <f t="shared" si="5"/>
        <v>0</v>
      </c>
      <c r="X38" s="76" t="e">
        <f>X37</f>
        <v>#REF!</v>
      </c>
      <c r="Y38" s="81" t="e">
        <f t="shared" si="5"/>
        <v>#REF!</v>
      </c>
      <c r="Z38" s="81">
        <v>1</v>
      </c>
      <c r="AA38" s="83">
        <f t="shared" si="6"/>
        <v>0.57735026918962584</v>
      </c>
      <c r="AB38" s="77" t="e">
        <f>AB37</f>
        <v>#REF!</v>
      </c>
      <c r="AC38" s="84" t="e">
        <f t="shared" si="7"/>
        <v>#REF!</v>
      </c>
      <c r="AD38" s="83" t="e">
        <f>AD37</f>
        <v>#REF!</v>
      </c>
      <c r="AE38" s="83" t="e">
        <f t="shared" si="8"/>
        <v>#REF!</v>
      </c>
      <c r="AF38" s="85">
        <f>(([4]Data!L40)*(11.5*10^-6)*1)</f>
        <v>1.15011845E-4</v>
      </c>
      <c r="AG38" s="77">
        <f t="shared" si="9"/>
        <v>6.6402119670745514E-5</v>
      </c>
      <c r="AH38" s="77" t="e">
        <f t="shared" si="10"/>
        <v>#REF!</v>
      </c>
      <c r="AI38" s="86">
        <f t="shared" si="11"/>
        <v>0</v>
      </c>
      <c r="AJ38" s="71" t="e">
        <f t="shared" si="12"/>
        <v>#REF!</v>
      </c>
      <c r="AK38" s="74" t="e">
        <f t="shared" si="13"/>
        <v>#REF!</v>
      </c>
      <c r="AL38" s="87" t="e">
        <f t="shared" si="14"/>
        <v>#REF!</v>
      </c>
      <c r="AM38" s="7"/>
      <c r="AN38" s="7"/>
    </row>
    <row r="39" spans="2:40" s="13" customFormat="1" ht="18" hidden="1" customHeight="1">
      <c r="B39" s="75">
        <v>150</v>
      </c>
      <c r="C39" s="76">
        <v>0</v>
      </c>
      <c r="D39" s="77">
        <f t="shared" si="0"/>
        <v>0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8">
        <f t="shared" ref="P39" si="27">P38</f>
        <v>2.8</v>
      </c>
      <c r="Q39" s="79">
        <f t="shared" si="1"/>
        <v>1.4</v>
      </c>
      <c r="R39" s="78">
        <f>'[4]Cert of STD'!D30</f>
        <v>0</v>
      </c>
      <c r="S39" s="79">
        <f t="shared" si="2"/>
        <v>0</v>
      </c>
      <c r="T39" s="80" t="e">
        <f>#REF!*2</f>
        <v>#REF!</v>
      </c>
      <c r="U39" s="81" t="e">
        <f t="shared" si="4"/>
        <v>#REF!</v>
      </c>
      <c r="V39" s="82">
        <f>(1/16)*[4]Data!E43</f>
        <v>0</v>
      </c>
      <c r="W39" s="81">
        <f t="shared" si="5"/>
        <v>0</v>
      </c>
      <c r="X39" s="76" t="e">
        <f t="shared" ref="X39" si="28">X38</f>
        <v>#REF!</v>
      </c>
      <c r="Y39" s="81" t="e">
        <f t="shared" si="5"/>
        <v>#REF!</v>
      </c>
      <c r="Z39" s="81">
        <v>1</v>
      </c>
      <c r="AA39" s="83">
        <f t="shared" si="6"/>
        <v>0.57735026918962584</v>
      </c>
      <c r="AB39" s="77" t="e">
        <f t="shared" ref="AB39" si="29">AB38</f>
        <v>#REF!</v>
      </c>
      <c r="AC39" s="84" t="e">
        <f t="shared" si="7"/>
        <v>#REF!</v>
      </c>
      <c r="AD39" s="83" t="e">
        <f t="shared" ref="AD39" si="30">AD38</f>
        <v>#REF!</v>
      </c>
      <c r="AE39" s="83" t="e">
        <f t="shared" si="8"/>
        <v>#REF!</v>
      </c>
      <c r="AF39" s="85">
        <f>(([4]Data!L41)*(11.5*10^-6)*1)</f>
        <v>1.15011845E-4</v>
      </c>
      <c r="AG39" s="77">
        <f t="shared" si="9"/>
        <v>6.6402119670745514E-5</v>
      </c>
      <c r="AH39" s="77" t="e">
        <f t="shared" si="10"/>
        <v>#REF!</v>
      </c>
      <c r="AI39" s="86">
        <f t="shared" si="11"/>
        <v>0</v>
      </c>
      <c r="AJ39" s="71" t="e">
        <f t="shared" si="12"/>
        <v>#REF!</v>
      </c>
      <c r="AK39" s="74" t="e">
        <f t="shared" si="13"/>
        <v>#REF!</v>
      </c>
      <c r="AL39" s="87" t="e">
        <f t="shared" si="14"/>
        <v>#REF!</v>
      </c>
      <c r="AM39" s="7"/>
      <c r="AN39" s="7"/>
    </row>
    <row r="40" spans="2:40" s="13" customFormat="1" ht="18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2:40" s="13" customFormat="1" ht="18" customHeight="1">
      <c r="B41" s="7"/>
      <c r="C41" s="7"/>
      <c r="D41" s="7"/>
      <c r="E41" s="7"/>
      <c r="F41" s="7"/>
      <c r="G41" s="7"/>
      <c r="H41" s="7"/>
      <c r="Y41" s="7"/>
      <c r="Z41" s="7"/>
      <c r="AA41" s="7"/>
      <c r="AB41" s="7"/>
      <c r="AC41" s="7"/>
    </row>
    <row r="42" spans="2:40" s="13" customFormat="1" ht="18" customHeight="1">
      <c r="B42" s="7"/>
      <c r="C42" s="7"/>
      <c r="D42" s="7"/>
      <c r="E42" s="7"/>
      <c r="F42" s="7"/>
      <c r="G42" s="7"/>
      <c r="H42" s="7"/>
      <c r="Y42" s="7"/>
      <c r="Z42" s="7"/>
      <c r="AA42" s="7"/>
      <c r="AB42" s="7"/>
      <c r="AC42" s="7"/>
    </row>
    <row r="43" spans="2:40" s="13" customFormat="1" ht="18" customHeight="1">
      <c r="B43" s="7"/>
      <c r="C43" s="7"/>
      <c r="D43" s="7"/>
      <c r="E43" s="7"/>
      <c r="F43" s="7"/>
      <c r="G43" s="7"/>
      <c r="H43" s="7"/>
      <c r="Y43" s="7"/>
      <c r="Z43" s="7"/>
      <c r="AA43" s="7"/>
      <c r="AB43" s="7"/>
      <c r="AC43" s="7"/>
    </row>
    <row r="44" spans="2:40" s="13" customFormat="1" ht="18" customHeight="1">
      <c r="B44" s="7"/>
      <c r="C44" s="7"/>
      <c r="D44" s="7"/>
      <c r="E44" s="7"/>
      <c r="F44" s="7"/>
      <c r="G44" s="7"/>
      <c r="H44" s="7"/>
      <c r="Y44" s="7"/>
      <c r="Z44" s="7"/>
      <c r="AA44" s="7"/>
      <c r="AB44" s="7"/>
      <c r="AC44" s="7"/>
    </row>
    <row r="45" spans="2:40" s="13" customFormat="1" ht="18" customHeight="1">
      <c r="B45" s="7"/>
      <c r="C45" s="7"/>
      <c r="D45" s="7"/>
      <c r="E45" s="7"/>
      <c r="F45" s="7"/>
      <c r="G45" s="7"/>
      <c r="H45" s="7"/>
      <c r="Y45" s="7"/>
      <c r="Z45" s="7"/>
      <c r="AA45" s="7"/>
      <c r="AB45" s="7"/>
      <c r="AC45" s="7"/>
    </row>
    <row r="46" spans="2:40" s="13" customFormat="1" ht="18" customHeight="1">
      <c r="B46" s="7"/>
      <c r="C46" s="7"/>
      <c r="D46" s="7"/>
      <c r="E46" s="7"/>
      <c r="F46" s="7"/>
      <c r="G46" s="7"/>
      <c r="H46" s="7"/>
      <c r="Y46" s="7"/>
      <c r="Z46" s="7"/>
      <c r="AA46" s="7"/>
      <c r="AB46" s="7"/>
      <c r="AC46" s="7"/>
    </row>
    <row r="47" spans="2:40" s="13" customFormat="1" ht="18" customHeight="1">
      <c r="B47" s="7"/>
      <c r="C47" s="7"/>
      <c r="D47" s="7"/>
      <c r="E47" s="7"/>
      <c r="F47" s="7"/>
      <c r="G47" s="7"/>
      <c r="H47" s="7"/>
      <c r="Y47" s="7"/>
      <c r="Z47" s="7"/>
      <c r="AA47" s="7"/>
      <c r="AB47" s="7"/>
      <c r="AC47" s="7"/>
    </row>
    <row r="48" spans="2:40" s="13" customFormat="1" ht="18" customHeight="1">
      <c r="B48" s="7"/>
      <c r="C48" s="7"/>
      <c r="D48" s="7"/>
      <c r="E48" s="7"/>
      <c r="F48" s="7"/>
      <c r="G48" s="7"/>
      <c r="H48" s="7"/>
      <c r="Y48" s="7"/>
      <c r="Z48" s="7"/>
      <c r="AA48" s="7"/>
      <c r="AB48" s="7"/>
      <c r="AC48" s="7"/>
    </row>
    <row r="49" spans="2:40" s="13" customFormat="1" ht="18" customHeight="1">
      <c r="B49" s="7"/>
      <c r="C49" s="7"/>
      <c r="D49" s="7"/>
      <c r="E49" s="7"/>
      <c r="F49" s="7"/>
      <c r="G49" s="7"/>
      <c r="H49" s="7"/>
      <c r="Y49" s="7"/>
      <c r="Z49" s="7"/>
      <c r="AA49" s="7"/>
      <c r="AB49" s="7"/>
      <c r="AC49" s="7"/>
    </row>
    <row r="50" spans="2:40" s="13" customFormat="1" ht="18" customHeight="1">
      <c r="B50" s="7"/>
      <c r="C50" s="7"/>
      <c r="D50" s="7"/>
      <c r="E50" s="7"/>
      <c r="F50" s="7"/>
      <c r="G50" s="7"/>
      <c r="H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40" s="13" customFormat="1" ht="18" customHeight="1">
      <c r="B51" s="7"/>
      <c r="C51" s="7"/>
      <c r="D51" s="7"/>
      <c r="E51" s="7"/>
      <c r="F51" s="7"/>
      <c r="G51" s="7"/>
      <c r="H51" s="7"/>
      <c r="R51" s="90"/>
      <c r="S51" s="7"/>
      <c r="U51" s="7"/>
      <c r="W51" s="7"/>
      <c r="X51" s="7"/>
      <c r="Y51" s="7"/>
      <c r="Z51" s="7"/>
      <c r="AA51" s="7"/>
      <c r="AB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2:40" s="13" customFormat="1" ht="18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V52" s="91"/>
      <c r="W52" s="91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2:40" s="13" customFormat="1" ht="1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2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4"/>
      <c r="AI53" s="93"/>
      <c r="AJ53" s="93"/>
      <c r="AK53" s="93"/>
      <c r="AL53" s="95"/>
      <c r="AM53" s="96"/>
      <c r="AN53" s="93"/>
    </row>
    <row r="54" spans="2:40" s="13" customFormat="1" ht="1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2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4"/>
      <c r="AI54" s="93"/>
      <c r="AJ54" s="93"/>
      <c r="AK54" s="93"/>
      <c r="AL54" s="95"/>
      <c r="AM54" s="96"/>
      <c r="AN54" s="93"/>
    </row>
    <row r="55" spans="2:40" s="13" customFormat="1" ht="1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2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4"/>
      <c r="AI55" s="93"/>
      <c r="AJ55" s="93"/>
      <c r="AK55" s="93"/>
      <c r="AL55" s="95"/>
      <c r="AM55" s="96"/>
      <c r="AN55" s="93"/>
    </row>
    <row r="56" spans="2:40">
      <c r="V56" s="93"/>
    </row>
  </sheetData>
  <mergeCells count="76">
    <mergeCell ref="C22:E22"/>
    <mergeCell ref="F22:G22"/>
    <mergeCell ref="H22:I22"/>
    <mergeCell ref="J22:K22"/>
    <mergeCell ref="M22:N22"/>
    <mergeCell ref="C23:E23"/>
    <mergeCell ref="F23:G23"/>
    <mergeCell ref="H23:I23"/>
    <mergeCell ref="J23:K23"/>
    <mergeCell ref="M23:N23"/>
    <mergeCell ref="C20:E20"/>
    <mergeCell ref="F20:G20"/>
    <mergeCell ref="H20:I20"/>
    <mergeCell ref="J20:K20"/>
    <mergeCell ref="M20:N20"/>
    <mergeCell ref="C21:E21"/>
    <mergeCell ref="F21:G21"/>
    <mergeCell ref="H21:I21"/>
    <mergeCell ref="J21:K21"/>
    <mergeCell ref="M21:N21"/>
    <mergeCell ref="C18:E18"/>
    <mergeCell ref="F18:G18"/>
    <mergeCell ref="H18:I18"/>
    <mergeCell ref="J18:K18"/>
    <mergeCell ref="M18:N18"/>
    <mergeCell ref="C19:E19"/>
    <mergeCell ref="F19:G19"/>
    <mergeCell ref="H19:I19"/>
    <mergeCell ref="J19:K19"/>
    <mergeCell ref="M19:N19"/>
    <mergeCell ref="T16:V17"/>
    <mergeCell ref="C17:E17"/>
    <mergeCell ref="F17:G17"/>
    <mergeCell ref="H17:I17"/>
    <mergeCell ref="J17:K17"/>
    <mergeCell ref="M17:N17"/>
    <mergeCell ref="C16:E16"/>
    <mergeCell ref="F16:G16"/>
    <mergeCell ref="H16:I16"/>
    <mergeCell ref="J16:K16"/>
    <mergeCell ref="M16:N16"/>
    <mergeCell ref="S16:S17"/>
    <mergeCell ref="S14:S15"/>
    <mergeCell ref="T14:T15"/>
    <mergeCell ref="C15:E15"/>
    <mergeCell ref="F15:G15"/>
    <mergeCell ref="H15:I15"/>
    <mergeCell ref="J15:K15"/>
    <mergeCell ref="M15:N15"/>
    <mergeCell ref="C14:E14"/>
    <mergeCell ref="F14:G14"/>
    <mergeCell ref="H14:I14"/>
    <mergeCell ref="J14:K14"/>
    <mergeCell ref="M14:N14"/>
    <mergeCell ref="R14:R15"/>
    <mergeCell ref="J12:K13"/>
    <mergeCell ref="L12:L13"/>
    <mergeCell ref="M12:N12"/>
    <mergeCell ref="O12:O13"/>
    <mergeCell ref="F13:G13"/>
    <mergeCell ref="H13:I13"/>
    <mergeCell ref="M13:N13"/>
    <mergeCell ref="D6:E6"/>
    <mergeCell ref="D7:E7"/>
    <mergeCell ref="G8:H8"/>
    <mergeCell ref="G9:H9"/>
    <mergeCell ref="B12:B13"/>
    <mergeCell ref="C12:E13"/>
    <mergeCell ref="F12:G12"/>
    <mergeCell ref="H12:I12"/>
    <mergeCell ref="Q5:R5"/>
    <mergeCell ref="B2:O2"/>
    <mergeCell ref="B5:C5"/>
    <mergeCell ref="E5:F5"/>
    <mergeCell ref="I5:J5"/>
    <mergeCell ref="K5:L5"/>
  </mergeCells>
  <pageMargins left="0.31496062992125984" right="0.31496062992125984" top="0.74803149606299213" bottom="0.74803149606299213" header="0.31496062992125984" footer="0.31496062992125984"/>
  <pageSetup paperSize="9" scale="85" orientation="landscape" r:id="rId1"/>
  <colBreaks count="1" manualBreakCount="1">
    <brk id="38" max="1048575" man="1"/>
  </colBreaks>
  <drawing r:id="rId2"/>
  <legacyDrawing r:id="rId3"/>
  <oleObjects>
    <mc:AlternateContent xmlns:mc="http://schemas.openxmlformats.org/markup-compatibility/2006">
      <mc:Choice Requires="x14">
        <oleObject progId="Equation.3" shapeId="10241" r:id="rId4">
          <objectPr defaultSize="0" autoPict="0" r:id="rId5">
            <anchor moveWithCells="1">
              <from>
                <xdr:col>14</xdr:col>
                <xdr:colOff>171450</xdr:colOff>
                <xdr:row>14</xdr:row>
                <xdr:rowOff>28575</xdr:rowOff>
              </from>
              <to>
                <xdr:col>14</xdr:col>
                <xdr:colOff>428625</xdr:colOff>
                <xdr:row>14</xdr:row>
                <xdr:rowOff>200025</xdr:rowOff>
              </to>
            </anchor>
          </objectPr>
        </oleObject>
      </mc:Choice>
      <mc:Fallback>
        <oleObject progId="Equation.3" shapeId="10241" r:id="rId4"/>
      </mc:Fallback>
    </mc:AlternateContent>
    <mc:AlternateContent xmlns:mc="http://schemas.openxmlformats.org/markup-compatibility/2006">
      <mc:Choice Requires="x14">
        <oleObject progId="Equation.3" shapeId="10242" r:id="rId6">
          <objectPr defaultSize="0" autoPict="0" r:id="rId5">
            <anchor moveWithCells="1">
              <from>
                <xdr:col>14</xdr:col>
                <xdr:colOff>171450</xdr:colOff>
                <xdr:row>15</xdr:row>
                <xdr:rowOff>28575</xdr:rowOff>
              </from>
              <to>
                <xdr:col>14</xdr:col>
                <xdr:colOff>428625</xdr:colOff>
                <xdr:row>15</xdr:row>
                <xdr:rowOff>200025</xdr:rowOff>
              </to>
            </anchor>
          </objectPr>
        </oleObject>
      </mc:Choice>
      <mc:Fallback>
        <oleObject progId="Equation.3" shapeId="10242" r:id="rId6"/>
      </mc:Fallback>
    </mc:AlternateContent>
    <mc:AlternateContent xmlns:mc="http://schemas.openxmlformats.org/markup-compatibility/2006">
      <mc:Choice Requires="x14">
        <oleObject progId="Equation.3" shapeId="10243" r:id="rId7">
          <objectPr defaultSize="0" autoPict="0" r:id="rId5">
            <anchor moveWithCells="1">
              <from>
                <xdr:col>14</xdr:col>
                <xdr:colOff>171450</xdr:colOff>
                <xdr:row>16</xdr:row>
                <xdr:rowOff>28575</xdr:rowOff>
              </from>
              <to>
                <xdr:col>14</xdr:col>
                <xdr:colOff>428625</xdr:colOff>
                <xdr:row>16</xdr:row>
                <xdr:rowOff>200025</xdr:rowOff>
              </to>
            </anchor>
          </objectPr>
        </oleObject>
      </mc:Choice>
      <mc:Fallback>
        <oleObject progId="Equation.3" shapeId="10243" r:id="rId7"/>
      </mc:Fallback>
    </mc:AlternateContent>
    <mc:AlternateContent xmlns:mc="http://schemas.openxmlformats.org/markup-compatibility/2006">
      <mc:Choice Requires="x14">
        <oleObject progId="Equation.3" shapeId="10244" r:id="rId8">
          <objectPr defaultSize="0" autoPict="0" r:id="rId5">
            <anchor moveWithCells="1">
              <from>
                <xdr:col>14</xdr:col>
                <xdr:colOff>171450</xdr:colOff>
                <xdr:row>17</xdr:row>
                <xdr:rowOff>28575</xdr:rowOff>
              </from>
              <to>
                <xdr:col>14</xdr:col>
                <xdr:colOff>428625</xdr:colOff>
                <xdr:row>17</xdr:row>
                <xdr:rowOff>200025</xdr:rowOff>
              </to>
            </anchor>
          </objectPr>
        </oleObject>
      </mc:Choice>
      <mc:Fallback>
        <oleObject progId="Equation.3" shapeId="10244" r:id="rId8"/>
      </mc:Fallback>
    </mc:AlternateContent>
    <mc:AlternateContent xmlns:mc="http://schemas.openxmlformats.org/markup-compatibility/2006">
      <mc:Choice Requires="x14">
        <oleObject progId="Equation.3" shapeId="10245" r:id="rId9">
          <objectPr defaultSize="0" autoPict="0" r:id="rId5">
            <anchor moveWithCells="1">
              <from>
                <xdr:col>14</xdr:col>
                <xdr:colOff>171450</xdr:colOff>
                <xdr:row>18</xdr:row>
                <xdr:rowOff>28575</xdr:rowOff>
              </from>
              <to>
                <xdr:col>14</xdr:col>
                <xdr:colOff>428625</xdr:colOff>
                <xdr:row>18</xdr:row>
                <xdr:rowOff>200025</xdr:rowOff>
              </to>
            </anchor>
          </objectPr>
        </oleObject>
      </mc:Choice>
      <mc:Fallback>
        <oleObject progId="Equation.3" shapeId="10245" r:id="rId9"/>
      </mc:Fallback>
    </mc:AlternateContent>
    <mc:AlternateContent xmlns:mc="http://schemas.openxmlformats.org/markup-compatibility/2006">
      <mc:Choice Requires="x14">
        <oleObject progId="Equation.3" shapeId="10246" r:id="rId10">
          <objectPr defaultSize="0" autoPict="0" r:id="rId5">
            <anchor moveWithCells="1">
              <from>
                <xdr:col>14</xdr:col>
                <xdr:colOff>171450</xdr:colOff>
                <xdr:row>19</xdr:row>
                <xdr:rowOff>28575</xdr:rowOff>
              </from>
              <to>
                <xdr:col>14</xdr:col>
                <xdr:colOff>428625</xdr:colOff>
                <xdr:row>19</xdr:row>
                <xdr:rowOff>200025</xdr:rowOff>
              </to>
            </anchor>
          </objectPr>
        </oleObject>
      </mc:Choice>
      <mc:Fallback>
        <oleObject progId="Equation.3" shapeId="10246" r:id="rId10"/>
      </mc:Fallback>
    </mc:AlternateContent>
    <mc:AlternateContent xmlns:mc="http://schemas.openxmlformats.org/markup-compatibility/2006">
      <mc:Choice Requires="x14">
        <oleObject progId="Equation.3" shapeId="10247" r:id="rId11">
          <objectPr defaultSize="0" autoPict="0" r:id="rId5">
            <anchor moveWithCells="1">
              <from>
                <xdr:col>14</xdr:col>
                <xdr:colOff>171450</xdr:colOff>
                <xdr:row>20</xdr:row>
                <xdr:rowOff>28575</xdr:rowOff>
              </from>
              <to>
                <xdr:col>14</xdr:col>
                <xdr:colOff>428625</xdr:colOff>
                <xdr:row>20</xdr:row>
                <xdr:rowOff>200025</xdr:rowOff>
              </to>
            </anchor>
          </objectPr>
        </oleObject>
      </mc:Choice>
      <mc:Fallback>
        <oleObject progId="Equation.3" shapeId="10247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Data Record (pitch)</vt:lpstr>
      <vt:lpstr>Data Record (minor)</vt:lpstr>
      <vt:lpstr>Certificate</vt:lpstr>
      <vt:lpstr>Report</vt:lpstr>
      <vt:lpstr>Result (pitch)</vt:lpstr>
      <vt:lpstr>Result (minor)</vt:lpstr>
      <vt:lpstr>Uncertainty Budget(P0.8)</vt:lpstr>
      <vt:lpstr>Uncertainty Budget(Minor)</vt:lpstr>
      <vt:lpstr>Uncertainty Budget(P1.5)</vt:lpstr>
      <vt:lpstr>Uncertainty Budget(P2.5)</vt:lpstr>
      <vt:lpstr>Uncertainty Budget(P4.5)</vt:lpstr>
      <vt:lpstr>Uncertainty Budget(P6)</vt:lpstr>
      <vt:lpstr>Uncertainty Budget(P8)</vt:lpstr>
      <vt:lpstr>Uncertainty Budget(P8)2</vt:lpstr>
      <vt:lpstr>Uncertainty Budget(Cal)</vt:lpstr>
      <vt:lpstr>Cert of STD</vt:lpstr>
      <vt:lpstr>Certificate!Print_Area</vt:lpstr>
      <vt:lpstr>'Data Record (minor)'!Print_Area</vt:lpstr>
      <vt:lpstr>'Data Record (pitch)'!Print_Area</vt:lpstr>
      <vt:lpstr>Report!Print_Area</vt:lpstr>
      <vt:lpstr>'Result (minor)'!Print_Area</vt:lpstr>
      <vt:lpstr>'Result (pitch)'!Print_Area</vt:lpstr>
      <vt:lpstr>'Uncertainty Budget(Cal)'!Print_Area</vt:lpstr>
      <vt:lpstr>'Uncertainty Budget(P0.8)'!Print_Area</vt:lpstr>
      <vt:lpstr>'Uncertainty Budget(P1.5)'!Print_Area</vt:lpstr>
      <vt:lpstr>'Uncertainty Budget(P2.5)'!Print_Area</vt:lpstr>
      <vt:lpstr>'Uncertainty Budget(P4.5)'!Print_Area</vt:lpstr>
      <vt:lpstr>'Uncertainty Budget(P6)'!Print_Area</vt:lpstr>
      <vt:lpstr>'Uncertainty Budget(P8)'!Print_Area</vt:lpstr>
      <vt:lpstr>'Uncertainty Budget(P8)2'!Print_Area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2016-08-13T05:38:58Z</cp:lastPrinted>
  <dcterms:created xsi:type="dcterms:W3CDTF">2016-01-29T10:10:43Z</dcterms:created>
  <dcterms:modified xsi:type="dcterms:W3CDTF">2017-06-25T17:04:32Z</dcterms:modified>
</cp:coreProperties>
</file>