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120" yWindow="1725" windowWidth="15480" windowHeight="8295"/>
  </bookViews>
  <sheets>
    <sheet name="Data Record" sheetId="22" r:id="rId1"/>
    <sheet name="Certificate" sheetId="26" r:id="rId2"/>
    <sheet name="Report" sheetId="24" r:id="rId3"/>
    <sheet name="Result" sheetId="25" r:id="rId4"/>
    <sheet name="Uncertainty Budget(CMC)" sheetId="3" r:id="rId5"/>
    <sheet name="Cert of STD" sheetId="2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'Data Record'!$A$1:$AF$40</definedName>
    <definedName name="_xlnm.Print_Area" localSheetId="2">Report!$A$1:$V$43</definedName>
    <definedName name="_xlnm.Print_Area" localSheetId="3">Result!$A$1:$W$36</definedName>
    <definedName name="_xlnm.Print_Area" localSheetId="4">'Uncertainty Budget(CMC)'!$A$1:$S$16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Y27" i="22" l="1"/>
  <c r="Y28" i="22"/>
  <c r="Y29" i="22"/>
  <c r="Y30" i="22"/>
  <c r="Y31" i="22"/>
  <c r="Y26" i="22"/>
  <c r="W20" i="26" l="1"/>
  <c r="W19" i="26"/>
  <c r="J16" i="26"/>
  <c r="J15" i="26"/>
  <c r="J14" i="26"/>
  <c r="J13" i="26"/>
  <c r="J12" i="26"/>
  <c r="J5" i="26"/>
  <c r="G5" i="24" s="1"/>
  <c r="H39" i="22"/>
  <c r="H36" i="26" s="1"/>
  <c r="AA26" i="22"/>
  <c r="S36" i="26" l="1"/>
  <c r="W21" i="26"/>
  <c r="H35" i="26" l="1"/>
  <c r="H5" i="25"/>
  <c r="F13" i="3"/>
  <c r="K13" i="3" s="1"/>
  <c r="F14" i="3"/>
  <c r="K14" i="3" s="1"/>
  <c r="F17" i="3"/>
  <c r="K17" i="3" s="1"/>
  <c r="I5" i="3"/>
  <c r="I7" i="3" s="1"/>
  <c r="T18" i="22"/>
  <c r="H4" i="3" s="1"/>
  <c r="N18" i="22"/>
  <c r="H18" i="22"/>
  <c r="D4" i="3" s="1"/>
  <c r="Z18" i="22" l="1"/>
  <c r="F4" i="3"/>
  <c r="F15" i="3" l="1"/>
  <c r="K15" i="3" s="1"/>
  <c r="J4" i="3"/>
  <c r="C7" i="3" s="1"/>
  <c r="V28" i="25" l="1"/>
  <c r="V27" i="25"/>
  <c r="V26" i="25"/>
  <c r="V25" i="25"/>
  <c r="V24" i="25"/>
  <c r="V23" i="25"/>
  <c r="T28" i="25"/>
  <c r="T27" i="25"/>
  <c r="T26" i="25"/>
  <c r="T25" i="25"/>
  <c r="T24" i="25"/>
  <c r="T23" i="25"/>
  <c r="R28" i="25"/>
  <c r="R27" i="25"/>
  <c r="R26" i="25"/>
  <c r="R25" i="25"/>
  <c r="R24" i="25"/>
  <c r="R23" i="25"/>
  <c r="P28" i="25"/>
  <c r="P27" i="25"/>
  <c r="P26" i="25"/>
  <c r="P25" i="25"/>
  <c r="P24" i="25"/>
  <c r="P23" i="25"/>
  <c r="N28" i="25"/>
  <c r="N27" i="25"/>
  <c r="N26" i="25"/>
  <c r="N25" i="25"/>
  <c r="N24" i="25"/>
  <c r="N23" i="25"/>
  <c r="L28" i="25"/>
  <c r="L27" i="25"/>
  <c r="L26" i="25"/>
  <c r="L25" i="25"/>
  <c r="L24" i="25"/>
  <c r="L23" i="25"/>
  <c r="J28" i="25"/>
  <c r="J27" i="25"/>
  <c r="J26" i="25"/>
  <c r="J25" i="25"/>
  <c r="J24" i="25"/>
  <c r="H28" i="25"/>
  <c r="H27" i="25"/>
  <c r="H26" i="25"/>
  <c r="H25" i="25"/>
  <c r="H24" i="25"/>
  <c r="F28" i="25"/>
  <c r="F27" i="25"/>
  <c r="F26" i="25"/>
  <c r="F25" i="25"/>
  <c r="F24" i="25"/>
  <c r="D27" i="25"/>
  <c r="D26" i="25"/>
  <c r="D25" i="25"/>
  <c r="D24" i="25"/>
  <c r="J23" i="25"/>
  <c r="H23" i="25"/>
  <c r="F23" i="25"/>
  <c r="D23" i="25"/>
  <c r="F29" i="25" l="1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F11" i="3" l="1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L26" i="3" l="1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27" i="3"/>
  <c r="AL28" i="3"/>
  <c r="AL29" i="3"/>
  <c r="M22" i="22" l="1"/>
  <c r="AM29" i="3"/>
  <c r="M19" i="22"/>
  <c r="AH11" i="3"/>
  <c r="I6" i="3"/>
  <c r="Y20" i="22" l="1"/>
  <c r="Y22" i="22" s="1"/>
  <c r="M21" i="22"/>
  <c r="Y21" i="22"/>
  <c r="D19" i="22"/>
  <c r="D21" i="22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C5" i="3"/>
  <c r="AI17" i="3" l="1"/>
  <c r="AI18" i="3"/>
  <c r="AI19" i="3"/>
  <c r="AI20" i="3"/>
  <c r="AI21" i="3"/>
  <c r="AI22" i="3"/>
  <c r="AI23" i="3"/>
  <c r="AI24" i="3"/>
  <c r="AI25" i="3"/>
  <c r="AI26" i="3"/>
  <c r="AI27" i="3"/>
  <c r="AI28" i="3"/>
  <c r="AI29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G11" i="3"/>
  <c r="AG12" i="3"/>
  <c r="AG13" i="3"/>
  <c r="AG14" i="3"/>
  <c r="AG15" i="3"/>
  <c r="AG16" i="3"/>
  <c r="F7" i="3" l="1"/>
  <c r="F16" i="3" s="1"/>
  <c r="K16" i="3" s="1"/>
  <c r="F5" i="3"/>
  <c r="AJ29" i="3" l="1"/>
  <c r="AK29" i="3" s="1"/>
  <c r="AJ27" i="3"/>
  <c r="AK27" i="3" s="1"/>
  <c r="AJ25" i="3"/>
  <c r="AK25" i="3" s="1"/>
  <c r="AJ23" i="3"/>
  <c r="AK23" i="3" s="1"/>
  <c r="AJ21" i="3"/>
  <c r="AK21" i="3" s="1"/>
  <c r="AJ19" i="3"/>
  <c r="AK19" i="3" s="1"/>
  <c r="AJ17" i="3"/>
  <c r="AK17" i="3" s="1"/>
  <c r="AJ15" i="3"/>
  <c r="AK15" i="3" s="1"/>
  <c r="AJ13" i="3"/>
  <c r="AK13" i="3" s="1"/>
  <c r="AJ11" i="3"/>
  <c r="AK11" i="3" s="1"/>
  <c r="AJ28" i="3"/>
  <c r="AK28" i="3" s="1"/>
  <c r="AJ26" i="3"/>
  <c r="AK26" i="3" s="1"/>
  <c r="AJ24" i="3"/>
  <c r="AK24" i="3" s="1"/>
  <c r="AJ22" i="3"/>
  <c r="AK22" i="3" s="1"/>
  <c r="AJ20" i="3"/>
  <c r="AK20" i="3" s="1"/>
  <c r="AJ18" i="3"/>
  <c r="AK18" i="3" s="1"/>
  <c r="AJ16" i="3"/>
  <c r="AK16" i="3" s="1"/>
  <c r="AJ14" i="3"/>
  <c r="AK14" i="3" s="1"/>
  <c r="AJ12" i="3"/>
  <c r="AK12" i="3" s="1"/>
  <c r="AD16" i="3"/>
  <c r="AD15" i="3"/>
  <c r="AD14" i="3"/>
  <c r="AD13" i="3"/>
  <c r="AD12" i="3"/>
  <c r="AD11" i="3"/>
  <c r="E9" i="21"/>
  <c r="E8" i="21"/>
  <c r="E7" i="21"/>
  <c r="E6" i="21"/>
  <c r="E5" i="21"/>
  <c r="AI16" i="3" l="1"/>
  <c r="AI14" i="3"/>
  <c r="AI12" i="3"/>
  <c r="AI15" i="3"/>
  <c r="AI13" i="3"/>
  <c r="AI11" i="3"/>
  <c r="AE12" i="3" l="1"/>
  <c r="AE11" i="3"/>
  <c r="AE13" i="3"/>
  <c r="AE14" i="3" l="1"/>
  <c r="AE15" i="3" l="1"/>
  <c r="AE16" i="3" l="1"/>
  <c r="AM11" i="3"/>
  <c r="AM12" i="3"/>
  <c r="AM13" i="3"/>
  <c r="AM14" i="3"/>
  <c r="AM15" i="3"/>
  <c r="AM16" i="3"/>
  <c r="AM17" i="3" l="1"/>
  <c r="AM18" i="3" l="1"/>
  <c r="AM19" i="3" l="1"/>
  <c r="AM20" i="3" l="1"/>
  <c r="AM21" i="3" l="1"/>
  <c r="AM22" i="3" l="1"/>
  <c r="AM23" i="3" l="1"/>
  <c r="AM24" i="3" l="1"/>
  <c r="AM25" i="3" l="1"/>
  <c r="AM26" i="3" l="1"/>
  <c r="AM27" i="3" l="1"/>
  <c r="AM28" i="3" l="1"/>
  <c r="F12" i="3" l="1"/>
  <c r="AB11" i="3" s="1"/>
  <c r="AC11" i="3" l="1"/>
  <c r="AB12" i="3"/>
  <c r="K12" i="3"/>
  <c r="K18" i="3" s="1"/>
  <c r="AC12" i="3" l="1"/>
  <c r="AB13" i="3"/>
  <c r="L18" i="3"/>
  <c r="H19" i="3" s="1"/>
  <c r="L19" i="3" s="1"/>
  <c r="AN11" i="3"/>
  <c r="AO11" i="3"/>
  <c r="AP11" i="3" l="1"/>
  <c r="AQ11" i="3" s="1"/>
  <c r="AR11" i="3" s="1"/>
  <c r="K19" i="3"/>
  <c r="J31" i="25" s="1"/>
  <c r="AB14" i="3"/>
  <c r="AC13" i="3"/>
  <c r="AO12" i="3"/>
  <c r="AN12" i="3"/>
  <c r="AP12" i="3" l="1"/>
  <c r="AQ12" i="3" s="1"/>
  <c r="AR12" i="3" s="1"/>
  <c r="AO13" i="3"/>
  <c r="AN13" i="3"/>
  <c r="AC14" i="3"/>
  <c r="AB15" i="3"/>
  <c r="AO14" i="3" l="1"/>
  <c r="AN14" i="3"/>
  <c r="AB16" i="3"/>
  <c r="AC15" i="3"/>
  <c r="AP13" i="3"/>
  <c r="AQ13" i="3" s="1"/>
  <c r="AR13" i="3" s="1"/>
  <c r="AO15" i="3" l="1"/>
  <c r="AN15" i="3"/>
  <c r="AP14" i="3"/>
  <c r="AQ14" i="3" s="1"/>
  <c r="AR14" i="3" s="1"/>
  <c r="AC16" i="3"/>
  <c r="AB17" i="3"/>
  <c r="AP15" i="3" l="1"/>
  <c r="AQ15" i="3" s="1"/>
  <c r="AR15" i="3" s="1"/>
  <c r="AB18" i="3"/>
  <c r="AC17" i="3"/>
  <c r="AN16" i="3"/>
  <c r="AO16" i="3"/>
  <c r="AO17" i="3" l="1"/>
  <c r="AN17" i="3"/>
  <c r="AP16" i="3"/>
  <c r="AQ16" i="3" s="1"/>
  <c r="AR16" i="3" s="1"/>
  <c r="AC18" i="3"/>
  <c r="AB19" i="3"/>
  <c r="AP17" i="3" l="1"/>
  <c r="AQ17" i="3" s="1"/>
  <c r="AR17" i="3" s="1"/>
  <c r="AC19" i="3"/>
  <c r="AB20" i="3"/>
  <c r="AO18" i="3"/>
  <c r="AN18" i="3"/>
  <c r="AP18" i="3" l="1"/>
  <c r="AQ18" i="3" s="1"/>
  <c r="AR18" i="3" s="1"/>
  <c r="AC20" i="3"/>
  <c r="AB21" i="3"/>
  <c r="AN19" i="3"/>
  <c r="AO19" i="3"/>
  <c r="AC21" i="3" l="1"/>
  <c r="AB22" i="3"/>
  <c r="AP19" i="3"/>
  <c r="AQ19" i="3" s="1"/>
  <c r="AR19" i="3" s="1"/>
  <c r="AO20" i="3"/>
  <c r="AN20" i="3"/>
  <c r="AC22" i="3" l="1"/>
  <c r="AB23" i="3"/>
  <c r="AP20" i="3"/>
  <c r="AQ20" i="3" s="1"/>
  <c r="AR20" i="3" s="1"/>
  <c r="AO21" i="3"/>
  <c r="AN21" i="3"/>
  <c r="AB24" i="3" l="1"/>
  <c r="AC23" i="3"/>
  <c r="AP21" i="3"/>
  <c r="AQ21" i="3" s="1"/>
  <c r="AR21" i="3" s="1"/>
  <c r="AN22" i="3"/>
  <c r="AO22" i="3"/>
  <c r="AP22" i="3" l="1"/>
  <c r="AQ22" i="3" s="1"/>
  <c r="AR22" i="3" s="1"/>
  <c r="AO23" i="3"/>
  <c r="AN23" i="3"/>
  <c r="AC24" i="3"/>
  <c r="AB25" i="3"/>
  <c r="AB26" i="3" l="1"/>
  <c r="AC25" i="3"/>
  <c r="AP23" i="3"/>
  <c r="AQ23" i="3" s="1"/>
  <c r="AR23" i="3" s="1"/>
  <c r="AN24" i="3"/>
  <c r="AO24" i="3"/>
  <c r="AO25" i="3" l="1"/>
  <c r="AN25" i="3"/>
  <c r="AP24" i="3"/>
  <c r="AQ24" i="3" s="1"/>
  <c r="AR24" i="3" s="1"/>
  <c r="AC26" i="3"/>
  <c r="AB27" i="3"/>
  <c r="AN26" i="3" l="1"/>
  <c r="AO26" i="3"/>
  <c r="AB28" i="3"/>
  <c r="AC27" i="3"/>
  <c r="AP25" i="3"/>
  <c r="AQ25" i="3" s="1"/>
  <c r="AR25" i="3" s="1"/>
  <c r="AO27" i="3" l="1"/>
  <c r="AN27" i="3"/>
  <c r="AC28" i="3"/>
  <c r="AB29" i="3"/>
  <c r="AC29" i="3" s="1"/>
  <c r="AP26" i="3"/>
  <c r="AQ26" i="3" s="1"/>
  <c r="AR26" i="3" s="1"/>
  <c r="AN29" i="3" l="1"/>
  <c r="AO29" i="3"/>
  <c r="AP27" i="3"/>
  <c r="AQ27" i="3" s="1"/>
  <c r="AR27" i="3" s="1"/>
  <c r="AO28" i="3"/>
  <c r="AN28" i="3"/>
  <c r="AP28" i="3" l="1"/>
  <c r="AQ28" i="3" s="1"/>
  <c r="AR28" i="3" s="1"/>
  <c r="AP29" i="3"/>
  <c r="AQ29" i="3" s="1"/>
  <c r="AR29" i="3" s="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Dial Indicator</t>
        </r>
      </text>
    </comment>
  </commentList>
</comments>
</file>

<file path=xl/sharedStrings.xml><?xml version="1.0" encoding="utf-8"?>
<sst xmlns="http://schemas.openxmlformats.org/spreadsheetml/2006/main" count="292" uniqueCount="207">
  <si>
    <t>Repeatability</t>
  </si>
  <si>
    <t>Uc</t>
  </si>
  <si>
    <t>Ui</t>
  </si>
  <si>
    <t>Value</t>
  </si>
  <si>
    <t>Certificate No. :</t>
  </si>
  <si>
    <t>SP METROLOGY SYSTEM THAILAND</t>
  </si>
  <si>
    <t>Receive Date :</t>
  </si>
  <si>
    <t>Calibration Date :</t>
  </si>
  <si>
    <t>Temp &amp; Humiduty :</t>
  </si>
  <si>
    <t>%RH</t>
  </si>
  <si>
    <t>Customer Name :</t>
  </si>
  <si>
    <t>Manufacturer :</t>
  </si>
  <si>
    <t>Serial No. :</t>
  </si>
  <si>
    <t>ID No :</t>
  </si>
  <si>
    <t>Range :</t>
  </si>
  <si>
    <t>Due Date</t>
  </si>
  <si>
    <t>mm</t>
  </si>
  <si>
    <r>
      <t xml:space="preserve">Unit: </t>
    </r>
    <r>
      <rPr>
        <b/>
        <sz val="9"/>
        <rFont val="Calibri"/>
        <family val="2"/>
      </rPr>
      <t>µ</t>
    </r>
    <r>
      <rPr>
        <b/>
        <sz val="9"/>
        <rFont val="Arial"/>
        <family val="2"/>
      </rPr>
      <t>m</t>
    </r>
  </si>
  <si>
    <t>In Lab</t>
  </si>
  <si>
    <t>On Site</t>
  </si>
  <si>
    <t>Model :</t>
  </si>
  <si>
    <t>Referance Standard :</t>
  </si>
  <si>
    <t>Due Date :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</si>
  <si>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</si>
  <si>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Uncertainty Budget of Surface Plate</t>
  </si>
  <si>
    <t>Certificate of Calibration (Dial Indicator)</t>
  </si>
  <si>
    <t>Span of Error (ft)</t>
  </si>
  <si>
    <t>Span of Error (fe)</t>
  </si>
  <si>
    <t>Total Span of Error (fegs)</t>
  </si>
  <si>
    <t>Hysterresis Error (fu)</t>
  </si>
  <si>
    <t>Repeatability (fw)</t>
  </si>
  <si>
    <t>Uncertainty of Dial Indicator</t>
  </si>
  <si>
    <t>Resolution of STD</t>
  </si>
  <si>
    <t>Top :</t>
  </si>
  <si>
    <r>
      <rPr>
        <sz val="8"/>
        <rFont val="Calibri"/>
        <family val="2"/>
      </rPr>
      <t>°</t>
    </r>
    <r>
      <rPr>
        <sz val="8"/>
        <rFont val="Times New Roman"/>
        <family val="1"/>
      </rPr>
      <t>C</t>
    </r>
  </si>
  <si>
    <t>Bottom :</t>
  </si>
  <si>
    <t>300x300</t>
  </si>
  <si>
    <t>Longitudinal</t>
  </si>
  <si>
    <t>Unit: mm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</si>
  <si>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</si>
  <si>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</si>
  <si>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</si>
  <si>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</si>
  <si>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</si>
  <si>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</si>
  <si>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</si>
  <si>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</si>
  <si>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</si>
  <si>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Line</t>
  </si>
  <si>
    <t>Line 1</t>
  </si>
  <si>
    <t>Line 2</t>
  </si>
  <si>
    <t>Line 3</t>
  </si>
  <si>
    <t>Line 4</t>
  </si>
  <si>
    <t>Line 5</t>
  </si>
  <si>
    <t>Line 6</t>
  </si>
  <si>
    <t>:</t>
  </si>
  <si>
    <t>=</t>
  </si>
  <si>
    <t>400x400</t>
  </si>
  <si>
    <t>500x500</t>
  </si>
  <si>
    <t>600x600</t>
  </si>
  <si>
    <t>750x750</t>
  </si>
  <si>
    <t>900x900</t>
  </si>
  <si>
    <t>1000x1000</t>
  </si>
  <si>
    <t>1100x1100</t>
  </si>
  <si>
    <t>1200x1200</t>
  </si>
  <si>
    <t>1400x1400</t>
  </si>
  <si>
    <t>1500x1500</t>
  </si>
  <si>
    <t>1600x1600</t>
  </si>
  <si>
    <t>1800x1800</t>
  </si>
  <si>
    <t>2000x2000</t>
  </si>
  <si>
    <t>2300x2300</t>
  </si>
  <si>
    <t>2500x2500</t>
  </si>
  <si>
    <t>2600x2600</t>
  </si>
  <si>
    <t>2800x2800</t>
  </si>
  <si>
    <t>3000x3000</t>
  </si>
  <si>
    <t>a</t>
  </si>
  <si>
    <t>g</t>
  </si>
  <si>
    <t>n</t>
  </si>
  <si>
    <t>k</t>
  </si>
  <si>
    <t>m</t>
  </si>
  <si>
    <t>r</t>
  </si>
  <si>
    <r>
      <t>N/m</t>
    </r>
    <r>
      <rPr>
        <vertAlign val="superscript"/>
        <sz val="11"/>
        <rFont val="Times New Roman"/>
        <family val="1"/>
      </rPr>
      <t>2</t>
    </r>
  </si>
  <si>
    <r>
      <t>m/s</t>
    </r>
    <r>
      <rPr>
        <vertAlign val="superscript"/>
        <sz val="11"/>
        <rFont val="Times New Roman"/>
        <family val="1"/>
      </rPr>
      <t>2</t>
    </r>
  </si>
  <si>
    <r>
      <t>kg/m</t>
    </r>
    <r>
      <rPr>
        <vertAlign val="superscript"/>
        <sz val="11"/>
        <rFont val="Times New Roman"/>
        <family val="1"/>
      </rPr>
      <t>3</t>
    </r>
  </si>
  <si>
    <t>Wide =</t>
  </si>
  <si>
    <t>Long =</t>
  </si>
  <si>
    <t>Thick =</t>
  </si>
  <si>
    <t>Ratio =</t>
  </si>
  <si>
    <r>
      <t>r</t>
    </r>
    <r>
      <rPr>
        <b/>
        <i/>
        <sz val="11"/>
        <rFont val="Times New Roman"/>
        <family val="1"/>
      </rPr>
      <t>r</t>
    </r>
  </si>
  <si>
    <r>
      <t>∆</t>
    </r>
    <r>
      <rPr>
        <b/>
        <i/>
        <sz val="9"/>
        <rFont val="Tahoma"/>
        <family val="2"/>
      </rPr>
      <t>T</t>
    </r>
  </si>
  <si>
    <r>
      <rPr>
        <b/>
        <sz val="22"/>
        <rFont val="Edwardian Script ITC"/>
        <family val="4"/>
      </rPr>
      <t xml:space="preserve">u </t>
    </r>
    <r>
      <rPr>
        <b/>
        <sz val="11"/>
        <rFont val="Symbol"/>
        <family val="1"/>
        <charset val="2"/>
      </rPr>
      <t>(</t>
    </r>
    <r>
      <rPr>
        <b/>
        <i/>
        <sz val="11"/>
        <rFont val="Symbol"/>
        <family val="1"/>
        <charset val="2"/>
      </rPr>
      <t>a</t>
    </r>
    <r>
      <rPr>
        <b/>
        <sz val="11"/>
        <rFont val="Symbol"/>
        <family val="1"/>
        <charset val="2"/>
      </rPr>
      <t>)</t>
    </r>
  </si>
  <si>
    <r>
      <rPr>
        <b/>
        <sz val="22"/>
        <rFont val="Edwardian Script ITC"/>
        <family val="4"/>
      </rPr>
      <t>u</t>
    </r>
    <r>
      <rPr>
        <b/>
        <sz val="9"/>
        <rFont val="Tahoma"/>
        <family val="2"/>
      </rPr>
      <t xml:space="preserve"> (∆</t>
    </r>
    <r>
      <rPr>
        <b/>
        <i/>
        <sz val="9"/>
        <rFont val="Tahoma"/>
        <family val="2"/>
      </rPr>
      <t>T</t>
    </r>
    <r>
      <rPr>
        <b/>
        <sz val="9"/>
        <rFont val="Tahoma"/>
        <family val="2"/>
      </rPr>
      <t>)</t>
    </r>
  </si>
  <si>
    <r>
      <rPr>
        <sz val="11"/>
        <rFont val="Calibri"/>
        <family val="2"/>
      </rPr>
      <t>°</t>
    </r>
    <r>
      <rPr>
        <i/>
        <sz val="11"/>
        <rFont val="Calibri"/>
        <family val="2"/>
      </rPr>
      <t>k</t>
    </r>
    <r>
      <rPr>
        <vertAlign val="superscript"/>
        <sz val="11"/>
        <rFont val="Times New Roman"/>
        <family val="1"/>
      </rPr>
      <t>-1</t>
    </r>
  </si>
  <si>
    <t>Supporting Error</t>
  </si>
  <si>
    <t>Ld</t>
  </si>
  <si>
    <r>
      <t>L</t>
    </r>
    <r>
      <rPr>
        <b/>
        <i/>
        <sz val="9"/>
        <rFont val="Times New Roman"/>
        <family val="1"/>
      </rPr>
      <t>d</t>
    </r>
  </si>
  <si>
    <t>=SQRT(W^2+L^2)</t>
  </si>
  <si>
    <t>SP-SD-029-1</t>
  </si>
  <si>
    <t>Before Temperature :</t>
  </si>
  <si>
    <t>After Temperature :</t>
  </si>
  <si>
    <t>MAX</t>
  </si>
  <si>
    <t>Repeat</t>
  </si>
  <si>
    <t>Difference Temp</t>
  </si>
  <si>
    <t>Reference Point</t>
  </si>
  <si>
    <t>Certificate of Calibration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</si>
  <si>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</si>
  <si>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</si>
  <si>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</si>
  <si>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</si>
  <si>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</si>
  <si>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</si>
  <si>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</si>
  <si>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</si>
  <si>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</si>
  <si>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</si>
  <si>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</si>
  <si>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</si>
  <si>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</si>
  <si>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</si>
  <si>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</si>
  <si>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</si>
  <si>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Mr.Sombut Srikampa</t>
  </si>
  <si>
    <t>Mr. Natthaphol Boonmee</t>
  </si>
  <si>
    <t>Approved by  :</t>
  </si>
  <si>
    <t>Authorized Signatory</t>
  </si>
  <si>
    <t>Ms. Arunkamon Raramanus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</si>
  <si>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</si>
  <si>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</si>
  <si>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</si>
  <si>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</si>
  <si>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</si>
  <si>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</si>
  <si>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</si>
  <si>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</si>
  <si>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</si>
  <si>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</si>
  <si>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</si>
  <si>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Result</t>
  </si>
  <si>
    <t>Unit</t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</si>
  <si>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</si>
  <si>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</si>
  <si>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</si>
  <si>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</si>
  <si>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>Symbol</t>
  </si>
  <si>
    <t>Source of Uncertainty</t>
  </si>
  <si>
    <t>Probability Distrbution</t>
  </si>
  <si>
    <t>Divisor</t>
  </si>
  <si>
    <t>Ci</t>
  </si>
  <si>
    <t>Vi or Veff</t>
  </si>
  <si>
    <r>
      <rPr>
        <sz val="8"/>
        <rFont val="Tahoma"/>
        <family val="2"/>
      </rPr>
      <t>√</t>
    </r>
    <r>
      <rPr>
        <sz val="8"/>
        <rFont val="Arial"/>
        <family val="2"/>
      </rPr>
      <t>3</t>
    </r>
  </si>
  <si>
    <t>√3</t>
  </si>
  <si>
    <r>
      <rPr>
        <sz val="8"/>
        <rFont val="Tahoma"/>
        <family val="2"/>
      </rPr>
      <t>√</t>
    </r>
    <r>
      <rPr>
        <sz val="8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</si>
  <si>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Combined Uncertainty</t>
  </si>
  <si>
    <r>
      <rPr>
        <i/>
        <sz val="20"/>
        <rFont val="Arabic Typesetting"/>
        <family val="4"/>
      </rPr>
      <t>u</t>
    </r>
    <r>
      <rPr>
        <sz val="10"/>
        <rFont val="Arabic Typesetting"/>
        <family val="4"/>
      </rPr>
      <t>A</t>
    </r>
    <r>
      <rPr>
        <i/>
        <sz val="20"/>
        <rFont val="Angsana New"/>
        <family val="1"/>
      </rPr>
      <t xml:space="preserve"> </t>
    </r>
  </si>
  <si>
    <r>
      <rPr>
        <i/>
        <sz val="20"/>
        <rFont val="Arabic Typesetting"/>
        <family val="4"/>
      </rPr>
      <t>u</t>
    </r>
    <r>
      <rPr>
        <sz val="9"/>
        <rFont val="Arabic Typesetting"/>
        <family val="4"/>
      </rPr>
      <t>B1</t>
    </r>
  </si>
  <si>
    <r>
      <rPr>
        <i/>
        <sz val="20"/>
        <rFont val="Arabic Typesetting"/>
        <family val="4"/>
      </rPr>
      <t>u</t>
    </r>
    <r>
      <rPr>
        <sz val="9"/>
        <rFont val="Arabic Typesetting"/>
        <family val="4"/>
      </rPr>
      <t>B2</t>
    </r>
    <r>
      <rPr>
        <sz val="11"/>
        <color theme="1"/>
        <rFont val="Calibri"/>
        <family val="2"/>
        <scheme val="minor"/>
      </rPr>
      <t/>
    </r>
  </si>
  <si>
    <r>
      <rPr>
        <i/>
        <sz val="20"/>
        <rFont val="Arabic Typesetting"/>
        <family val="4"/>
      </rPr>
      <t>u</t>
    </r>
    <r>
      <rPr>
        <sz val="9"/>
        <rFont val="Arabic Typesetting"/>
        <family val="4"/>
      </rPr>
      <t>B3</t>
    </r>
    <r>
      <rPr>
        <sz val="11"/>
        <color theme="1"/>
        <rFont val="Calibri"/>
        <family val="2"/>
        <scheme val="minor"/>
      </rPr>
      <t/>
    </r>
  </si>
  <si>
    <r>
      <rPr>
        <i/>
        <sz val="20"/>
        <rFont val="Arabic Typesetting"/>
        <family val="4"/>
      </rPr>
      <t>u</t>
    </r>
    <r>
      <rPr>
        <sz val="9"/>
        <rFont val="Arabic Typesetting"/>
        <family val="4"/>
      </rPr>
      <t>B4</t>
    </r>
    <r>
      <rPr>
        <sz val="11"/>
        <color theme="1"/>
        <rFont val="Calibri"/>
        <family val="2"/>
        <scheme val="minor"/>
      </rPr>
      <t/>
    </r>
  </si>
  <si>
    <r>
      <rPr>
        <i/>
        <sz val="20"/>
        <rFont val="Arabic Typesetting"/>
        <family val="4"/>
      </rPr>
      <t>u</t>
    </r>
    <r>
      <rPr>
        <sz val="9"/>
        <rFont val="Arabic Typesetting"/>
        <family val="4"/>
      </rPr>
      <t>B5</t>
    </r>
    <r>
      <rPr>
        <sz val="11"/>
        <color theme="1"/>
        <rFont val="Calibri"/>
        <family val="2"/>
        <scheme val="minor"/>
      </rPr>
      <t/>
    </r>
  </si>
  <si>
    <t>Normal</t>
  </si>
  <si>
    <t>Expanded Uncertainty</t>
  </si>
  <si>
    <t>Normal k =</t>
  </si>
  <si>
    <t>Rectangular</t>
  </si>
  <si>
    <r>
      <t>U</t>
    </r>
    <r>
      <rPr>
        <b/>
        <vertAlign val="subscript"/>
        <sz val="14"/>
        <color rgb="FF0070C0"/>
        <rFont val="Cordia New"/>
        <family val="2"/>
      </rPr>
      <t>95</t>
    </r>
    <r>
      <rPr>
        <b/>
        <strike/>
        <vertAlign val="subscript"/>
        <sz val="14"/>
        <color rgb="FF0070C0"/>
        <rFont val="Cordia New"/>
        <family val="2"/>
      </rPr>
      <t>%</t>
    </r>
  </si>
  <si>
    <t>∞</t>
  </si>
  <si>
    <t>J</t>
  </si>
  <si>
    <t>Maximun Error</t>
  </si>
  <si>
    <r>
      <rPr>
        <sz val="10"/>
        <rFont val="Symbol"/>
        <family val="1"/>
        <charset val="2"/>
      </rPr>
      <t>m</t>
    </r>
    <r>
      <rPr>
        <sz val="10"/>
        <rFont val="Times New Roman"/>
        <family val="1"/>
      </rPr>
      <t>m</t>
    </r>
  </si>
  <si>
    <t xml:space="preserve">The Uncertainty of Measurement </t>
  </si>
  <si>
    <t>±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</si>
  <si>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</si>
  <si>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</si>
  <si>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</si>
  <si>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Equipment Name :</t>
  </si>
  <si>
    <t>Overall Inspection</t>
  </si>
  <si>
    <t>Good</t>
  </si>
  <si>
    <t>Not Good</t>
  </si>
  <si>
    <t>Surface Plate</t>
  </si>
  <si>
    <t>Page 1 of 1</t>
  </si>
  <si>
    <t>Measurement Results</t>
  </si>
  <si>
    <t>Calibrated By :</t>
  </si>
  <si>
    <t>Granite Surface Plate</t>
  </si>
  <si>
    <t>Choten</t>
  </si>
  <si>
    <t>1000x2000</t>
  </si>
  <si>
    <t>N21012065</t>
  </si>
  <si>
    <t>AC-IQC-166</t>
  </si>
  <si>
    <t xml:space="preserve">Wide </t>
  </si>
  <si>
    <t>Long</t>
  </si>
  <si>
    <t>Thick</t>
  </si>
  <si>
    <t>LG Electronics (Thailand)</t>
  </si>
  <si>
    <t>SP-SD-029</t>
  </si>
  <si>
    <t>SP-ST-004</t>
  </si>
  <si>
    <t>SPR16010012-1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</si>
  <si>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</si>
  <si>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</si>
  <si>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</si>
  <si>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</si>
  <si>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</si>
  <si>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</si>
  <si>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</si>
  <si>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</si>
  <si>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</si>
  <si>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</si>
  <si>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</si>
  <si>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</si>
  <si>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SP-CPD-04-17</t>
  </si>
  <si>
    <t>Reference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</si>
</sst>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"/>
    <numFmt numFmtId="167" formatCode="dd\ mmmm\ yyyy"/>
    <numFmt numFmtId="168" formatCode="0.0000"/>
    <numFmt numFmtId="169" formatCode="0.0E+00"/>
    <numFmt numFmtId="170" formatCode="0.00000"/>
    <numFmt numFmtId="171" formatCode="[$-409]d\-mmm\-yyyy;@"/>
    <numFmt numFmtId="172" formatCode="0.0000000"/>
    <numFmt numFmtId="173" formatCode="0.000000"/>
    <numFmt numFmtId="174" formatCode="0.000E+00"/>
    <numFmt numFmtId="175" formatCode="0.0000000000"/>
    <numFmt numFmtId="176" formatCode="[$-809]dd\ mmmm\ yyyy;@"/>
    <numFmt numFmtId="177" formatCode="[$-1010409]d\ mmmm\ yyyy;@"/>
    <numFmt numFmtId="178" formatCode="[$-409]d\-mmm\-yy;@"/>
    <numFmt numFmtId="179" formatCode="[$-409]dd\-mmm\-yy;@"/>
    <numFmt numFmtId="180" formatCode="_-[$€]* #,##0.00_-;\-[$€]* #,##0.00_-;_-[$€]* &quot;-&quot;??_-;_-@_-"/>
    <numFmt numFmtId="181" formatCode="_(* #,##0_);_(* \(#,##0\);_(* &quot;-&quot;_);_(@_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name val="Arial"/>
      <family val="2"/>
    </font>
    <font>
      <b/>
      <sz val="9"/>
      <name val="Arial"/>
      <family val="2"/>
    </font>
    <font>
      <b/>
      <sz val="24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sz val="12"/>
      <name val="Gulim"/>
      <family val="2"/>
    </font>
    <font>
      <sz val="10"/>
      <name val="Gulim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8"/>
      <name val="Angsana New"/>
      <family val="1"/>
    </font>
    <font>
      <sz val="16"/>
      <name val="Angsana New"/>
      <family val="1"/>
    </font>
    <font>
      <sz val="9"/>
      <color indexed="81"/>
      <name val="Tahoma"/>
      <family val="2"/>
    </font>
    <font>
      <b/>
      <sz val="9"/>
      <name val="Calibri"/>
      <family val="2"/>
    </font>
    <font>
      <sz val="12"/>
      <name val="Cordia New"/>
      <family val="2"/>
    </font>
    <font>
      <b/>
      <sz val="16"/>
      <name val="Cordia New"/>
      <family val="2"/>
    </font>
    <font>
      <sz val="14"/>
      <color theme="1"/>
      <name val="Cordia New"/>
      <family val="2"/>
    </font>
    <font>
      <b/>
      <sz val="14"/>
      <color theme="0"/>
      <name val="Cordia New"/>
      <family val="2"/>
    </font>
    <font>
      <sz val="12"/>
      <color rgb="FF0070C0"/>
      <name val="Cordia New"/>
      <family val="2"/>
    </font>
    <font>
      <b/>
      <sz val="12"/>
      <color theme="8" tint="-0.499984740745262"/>
      <name val="Cordia New"/>
      <family val="2"/>
    </font>
    <font>
      <b/>
      <sz val="18"/>
      <name val="Arial"/>
      <family val="2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color rgb="FF00B050"/>
      <name val="Cordia New"/>
      <family val="2"/>
    </font>
    <font>
      <sz val="9"/>
      <color theme="1"/>
      <name val="Arial"/>
      <family val="2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vertAlign val="superscript"/>
      <sz val="11"/>
      <name val="Times New Roman"/>
      <family val="1"/>
    </font>
    <font>
      <sz val="11"/>
      <name val="Arial"/>
      <family val="2"/>
    </font>
    <font>
      <b/>
      <sz val="9"/>
      <name val="Tahoma"/>
      <family val="2"/>
    </font>
    <font>
      <b/>
      <i/>
      <sz val="9"/>
      <name val="Tahoma"/>
      <family val="2"/>
    </font>
    <font>
      <sz val="10"/>
      <color theme="1"/>
      <name val="Arial"/>
      <family val="2"/>
    </font>
    <font>
      <b/>
      <i/>
      <sz val="11"/>
      <name val="Symbol"/>
      <family val="1"/>
      <charset val="2"/>
    </font>
    <font>
      <b/>
      <i/>
      <sz val="11"/>
      <name val="Times New Roman"/>
      <family val="1"/>
    </font>
    <font>
      <b/>
      <sz val="22"/>
      <name val="Edwardian Script ITC"/>
      <family val="4"/>
    </font>
    <font>
      <b/>
      <sz val="11"/>
      <name val="Symbol"/>
      <family val="1"/>
      <charset val="2"/>
    </font>
    <font>
      <i/>
      <sz val="11"/>
      <name val="Calibri"/>
      <family val="2"/>
    </font>
    <font>
      <sz val="10"/>
      <color rgb="FFFF0000"/>
      <name val="Calibri"/>
      <family val="2"/>
      <scheme val="minor"/>
    </font>
    <font>
      <b/>
      <i/>
      <sz val="9"/>
      <name val="Arial"/>
      <family val="2"/>
    </font>
    <font>
      <b/>
      <i/>
      <sz val="9"/>
      <name val="Times New Roman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4"/>
      <name val="Cordia New"/>
      <family val="2"/>
    </font>
    <font>
      <sz val="14"/>
      <color theme="1"/>
      <name val="Calibri"/>
      <family val="2"/>
      <scheme val="minor"/>
    </font>
    <font>
      <b/>
      <sz val="12"/>
      <name val="Gulim"/>
      <family val="2"/>
    </font>
    <font>
      <sz val="14"/>
      <color indexed="10"/>
      <name val="Cordia New"/>
      <family val="2"/>
    </font>
    <font>
      <b/>
      <sz val="18"/>
      <name val="Gulim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b/>
      <sz val="10"/>
      <color theme="1"/>
      <name val="Gulim"/>
      <family val="2"/>
    </font>
    <font>
      <b/>
      <sz val="9"/>
      <color theme="1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8"/>
      <name val="Tahoma"/>
      <family val="2"/>
    </font>
    <font>
      <sz val="9"/>
      <name val="Gulim"/>
      <family val="2"/>
    </font>
    <font>
      <sz val="8"/>
      <name val="Gulim"/>
      <family val="2"/>
    </font>
    <font>
      <i/>
      <sz val="20"/>
      <name val="Angsana New"/>
      <family val="1"/>
    </font>
    <font>
      <i/>
      <sz val="20"/>
      <name val="Arabic Typesetting"/>
      <family val="4"/>
    </font>
    <font>
      <sz val="10"/>
      <name val="Arabic Typesetting"/>
      <family val="4"/>
    </font>
    <font>
      <sz val="9"/>
      <name val="Arabic Typesetting"/>
      <family val="4"/>
    </font>
    <font>
      <b/>
      <sz val="14"/>
      <color rgb="FF0070C0"/>
      <name val="Cordia New"/>
      <family val="2"/>
    </font>
    <font>
      <b/>
      <vertAlign val="subscript"/>
      <sz val="14"/>
      <color rgb="FF0070C0"/>
      <name val="Cordia New"/>
      <family val="2"/>
    </font>
    <font>
      <b/>
      <strike/>
      <vertAlign val="subscript"/>
      <sz val="14"/>
      <color rgb="FF0070C0"/>
      <name val="Cordia New"/>
      <family val="2"/>
    </font>
    <font>
      <sz val="11"/>
      <name val="Tahoma"/>
      <family val="2"/>
    </font>
    <font>
      <b/>
      <sz val="12"/>
      <color rgb="FFAEF2D3"/>
      <name val="Cordia New"/>
      <family val="2"/>
    </font>
    <font>
      <sz val="10"/>
      <name val="Symbol"/>
      <family val="1"/>
      <charset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sz val="10"/>
      <color indexed="12"/>
      <name val="Gulim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164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38" fontId="9" fillId="2" borderId="0" applyNumberFormat="0" applyBorder="0" applyAlignment="0" applyProtection="0"/>
    <xf numFmtId="0" fontId="99" fillId="0" borderId="15" applyNumberFormat="0" applyAlignment="0" applyProtection="0">
      <alignment horizontal="left" vertical="center"/>
    </xf>
    <xf numFmtId="0" fontId="99" fillId="0" borderId="2">
      <alignment horizontal="left" vertical="center"/>
    </xf>
    <xf numFmtId="10" fontId="9" fillId="2" borderId="3" applyNumberFormat="0" applyBorder="0" applyAlignment="0" applyProtection="0"/>
    <xf numFmtId="0" fontId="3" fillId="0" borderId="0"/>
    <xf numFmtId="0" fontId="3" fillId="0" borderId="0"/>
    <xf numFmtId="0" fontId="2" fillId="17" borderId="16" applyNumberFormat="0" applyFont="0" applyAlignment="0" applyProtection="0"/>
    <xf numFmtId="0" fontId="2" fillId="17" borderId="16" applyNumberFormat="0" applyFont="0" applyAlignment="0" applyProtection="0"/>
    <xf numFmtId="0" fontId="2" fillId="17" borderId="16" applyNumberFormat="0" applyFont="0" applyAlignment="0" applyProtection="0"/>
    <xf numFmtId="0" fontId="2" fillId="17" borderId="16" applyNumberFormat="0" applyFont="0" applyAlignment="0" applyProtection="0"/>
    <xf numFmtId="0" fontId="2" fillId="17" borderId="16" applyNumberFormat="0" applyFont="0" applyAlignment="0" applyProtection="0"/>
    <xf numFmtId="0" fontId="2" fillId="17" borderId="16" applyNumberFormat="0" applyFont="0" applyAlignment="0" applyProtection="0"/>
    <xf numFmtId="0" fontId="2" fillId="17" borderId="16" applyNumberFormat="0" applyFont="0" applyAlignment="0" applyProtection="0"/>
    <xf numFmtId="0" fontId="2" fillId="17" borderId="16" applyNumberFormat="0" applyFont="0" applyAlignment="0" applyProtection="0"/>
    <xf numFmtId="10" fontId="3" fillId="0" borderId="0" applyFont="0" applyFill="0" applyBorder="0" applyAlignment="0" applyProtection="0"/>
    <xf numFmtId="18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2" fillId="0" borderId="0"/>
    <xf numFmtId="183" fontId="2" fillId="0" borderId="0" applyFont="0" applyFill="0" applyBorder="0" applyAlignment="0" applyProtection="0"/>
    <xf numFmtId="182" fontId="2" fillId="0" borderId="0" applyFont="0" applyFill="0" applyBorder="0" applyAlignment="0" applyProtection="0"/>
  </cellStyleXfs>
  <cellXfs count="461">
    <xf numFmtId="0" fontId="0" fillId="0" borderId="0" xfId="0"/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0" xfId="16" applyFont="1" applyFill="1" applyBorder="1" applyAlignment="1">
      <alignment vertical="center"/>
    </xf>
    <xf numFmtId="0" fontId="14" fillId="0" borderId="0" xfId="16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3" fillId="0" borderId="0" xfId="0" applyFont="1" applyBorder="1" applyAlignment="1">
      <alignment vertical="center"/>
    </xf>
    <xf numFmtId="166" fontId="5" fillId="6" borderId="0" xfId="0" applyNumberFormat="1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166" fontId="9" fillId="6" borderId="0" xfId="0" applyNumberFormat="1" applyFont="1" applyFill="1" applyBorder="1" applyAlignment="1">
      <alignment horizontal="center" vertical="center"/>
    </xf>
    <xf numFmtId="166" fontId="10" fillId="6" borderId="0" xfId="0" applyNumberFormat="1" applyFont="1" applyFill="1" applyBorder="1" applyAlignment="1">
      <alignment horizontal="center" vertical="center"/>
    </xf>
    <xf numFmtId="169" fontId="9" fillId="6" borderId="0" xfId="0" applyNumberFormat="1" applyFont="1" applyFill="1" applyBorder="1" applyAlignment="1">
      <alignment horizontal="center" vertical="center"/>
    </xf>
    <xf numFmtId="2" fontId="9" fillId="6" borderId="0" xfId="0" applyNumberFormat="1" applyFont="1" applyFill="1" applyBorder="1" applyAlignment="1">
      <alignment horizontal="center" vertical="center"/>
    </xf>
    <xf numFmtId="0" fontId="12" fillId="6" borderId="0" xfId="9" applyFont="1" applyFill="1" applyBorder="1" applyAlignment="1">
      <alignment horizontal="center" vertical="center"/>
    </xf>
    <xf numFmtId="0" fontId="16" fillId="6" borderId="0" xfId="9" applyFont="1" applyFill="1" applyBorder="1" applyAlignment="1">
      <alignment horizontal="center" vertical="center"/>
    </xf>
    <xf numFmtId="166" fontId="12" fillId="6" borderId="0" xfId="9" applyNumberFormat="1" applyFont="1" applyFill="1" applyBorder="1" applyAlignment="1">
      <alignment horizontal="center" vertical="center"/>
    </xf>
    <xf numFmtId="0" fontId="17" fillId="6" borderId="0" xfId="9" applyFont="1" applyFill="1" applyBorder="1" applyAlignment="1">
      <alignment horizontal="center" vertical="center"/>
    </xf>
    <xf numFmtId="2" fontId="12" fillId="6" borderId="0" xfId="9" applyNumberFormat="1" applyFont="1" applyFill="1" applyBorder="1" applyAlignment="1">
      <alignment horizontal="center" vertical="center"/>
    </xf>
    <xf numFmtId="2" fontId="17" fillId="6" borderId="0" xfId="9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66" fontId="17" fillId="6" borderId="0" xfId="9" applyNumberFormat="1" applyFont="1" applyFill="1" applyBorder="1" applyAlignment="1">
      <alignment horizontal="center" vertical="center"/>
    </xf>
    <xf numFmtId="166" fontId="5" fillId="6" borderId="0" xfId="0" applyNumberFormat="1" applyFont="1" applyFill="1" applyBorder="1" applyAlignment="1">
      <alignment vertical="center"/>
    </xf>
    <xf numFmtId="0" fontId="18" fillId="2" borderId="0" xfId="19" applyFont="1" applyFill="1" applyAlignment="1">
      <alignment horizontal="center" vertical="center"/>
    </xf>
    <xf numFmtId="0" fontId="19" fillId="0" borderId="0" xfId="19" applyFont="1" applyAlignment="1" applyProtection="1">
      <alignment horizontal="center" vertical="center"/>
      <protection locked="0"/>
    </xf>
    <xf numFmtId="0" fontId="23" fillId="0" borderId="0" xfId="0" applyFont="1" applyBorder="1" applyAlignment="1">
      <alignment vertical="center"/>
    </xf>
    <xf numFmtId="0" fontId="24" fillId="0" borderId="0" xfId="16" applyFont="1" applyFill="1" applyAlignment="1">
      <alignment vertical="center"/>
    </xf>
    <xf numFmtId="2" fontId="22" fillId="6" borderId="3" xfId="0" applyNumberFormat="1" applyFont="1" applyFill="1" applyBorder="1" applyAlignment="1">
      <alignment horizontal="center" vertical="center"/>
    </xf>
    <xf numFmtId="2" fontId="26" fillId="6" borderId="3" xfId="0" applyNumberFormat="1" applyFont="1" applyFill="1" applyBorder="1" applyAlignment="1">
      <alignment horizontal="center" vertical="center"/>
    </xf>
    <xf numFmtId="166" fontId="22" fillId="6" borderId="3" xfId="0" applyNumberFormat="1" applyFont="1" applyFill="1" applyBorder="1" applyAlignment="1">
      <alignment horizontal="center" vertical="center"/>
    </xf>
    <xf numFmtId="170" fontId="22" fillId="6" borderId="3" xfId="0" applyNumberFormat="1" applyFont="1" applyFill="1" applyBorder="1" applyAlignment="1">
      <alignment horizontal="center" vertical="center"/>
    </xf>
    <xf numFmtId="172" fontId="22" fillId="6" borderId="3" xfId="0" applyNumberFormat="1" applyFont="1" applyFill="1" applyBorder="1" applyAlignment="1">
      <alignment horizontal="center" vertical="center"/>
    </xf>
    <xf numFmtId="168" fontId="22" fillId="6" borderId="9" xfId="0" applyNumberFormat="1" applyFont="1" applyFill="1" applyBorder="1" applyAlignment="1">
      <alignment horizontal="center" vertical="center"/>
    </xf>
    <xf numFmtId="169" fontId="22" fillId="6" borderId="9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167" fontId="24" fillId="0" borderId="0" xfId="16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165" fontId="22" fillId="6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9" fillId="0" borderId="0" xfId="19" applyFont="1" applyAlignment="1">
      <alignment horizontal="center" vertical="center"/>
    </xf>
    <xf numFmtId="0" fontId="19" fillId="0" borderId="0" xfId="19" applyFont="1" applyAlignment="1">
      <alignment horizontal="center" vertical="center"/>
    </xf>
    <xf numFmtId="0" fontId="19" fillId="0" borderId="0" xfId="19" applyFont="1" applyFill="1" applyAlignment="1">
      <alignment vertical="center"/>
    </xf>
    <xf numFmtId="0" fontId="30" fillId="9" borderId="11" xfId="19" applyFont="1" applyFill="1" applyBorder="1" applyAlignment="1" applyProtection="1">
      <alignment horizontal="left" vertical="center"/>
      <protection locked="0"/>
    </xf>
    <xf numFmtId="1" fontId="30" fillId="0" borderId="3" xfId="19" applyNumberFormat="1" applyFont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/>
    </xf>
    <xf numFmtId="170" fontId="26" fillId="6" borderId="3" xfId="0" applyNumberFormat="1" applyFont="1" applyFill="1" applyBorder="1" applyAlignment="1">
      <alignment horizontal="center" vertical="center"/>
    </xf>
    <xf numFmtId="173" fontId="32" fillId="6" borderId="3" xfId="0" applyNumberFormat="1" applyFont="1" applyFill="1" applyBorder="1" applyAlignment="1">
      <alignment horizontal="center" vertical="center"/>
    </xf>
    <xf numFmtId="0" fontId="19" fillId="0" borderId="0" xfId="19" applyFont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174" fontId="33" fillId="0" borderId="0" xfId="0" applyNumberFormat="1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166" fontId="26" fillId="6" borderId="3" xfId="0" applyNumberFormat="1" applyFont="1" applyFill="1" applyBorder="1" applyAlignment="1">
      <alignment horizontal="center" vertical="center"/>
    </xf>
    <xf numFmtId="0" fontId="30" fillId="3" borderId="11" xfId="19" applyFont="1" applyFill="1" applyBorder="1" applyAlignment="1" applyProtection="1">
      <alignment horizontal="center" vertical="center"/>
      <protection locked="0"/>
    </xf>
    <xf numFmtId="0" fontId="19" fillId="0" borderId="0" xfId="19" applyFont="1" applyAlignment="1">
      <alignment horizontal="center" vertical="center"/>
    </xf>
    <xf numFmtId="0" fontId="19" fillId="0" borderId="0" xfId="19" applyFont="1" applyFill="1" applyAlignment="1">
      <alignment horizontal="center" vertical="center"/>
    </xf>
    <xf numFmtId="0" fontId="19" fillId="2" borderId="0" xfId="20" applyFont="1" applyFill="1" applyAlignment="1">
      <alignment horizontal="left" vertical="center" shrinkToFit="1"/>
    </xf>
    <xf numFmtId="165" fontId="27" fillId="9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5" fontId="30" fillId="3" borderId="10" xfId="19" applyNumberFormat="1" applyFont="1" applyFill="1" applyBorder="1" applyAlignment="1" applyProtection="1">
      <alignment horizontal="right" vertical="center"/>
      <protection locked="0"/>
    </xf>
    <xf numFmtId="168" fontId="30" fillId="9" borderId="10" xfId="19" applyNumberFormat="1" applyFont="1" applyFill="1" applyBorder="1" applyAlignment="1" applyProtection="1">
      <alignment horizontal="right" vertical="center"/>
      <protection locked="0"/>
    </xf>
    <xf numFmtId="0" fontId="19" fillId="0" borderId="0" xfId="19" applyFont="1" applyFill="1" applyAlignment="1">
      <alignment vertical="center" shrinkToFit="1"/>
    </xf>
    <xf numFmtId="0" fontId="36" fillId="0" borderId="0" xfId="0" applyFont="1" applyFill="1" applyBorder="1" applyAlignment="1">
      <alignment horizontal="left" vertical="center"/>
    </xf>
    <xf numFmtId="0" fontId="37" fillId="0" borderId="0" xfId="0" applyFont="1" applyAlignment="1">
      <alignment horizontal="left"/>
    </xf>
    <xf numFmtId="0" fontId="36" fillId="0" borderId="0" xfId="0" applyFont="1" applyFill="1" applyBorder="1" applyAlignment="1">
      <alignment horizontal="right"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38" fillId="0" borderId="0" xfId="0" applyFont="1"/>
    <xf numFmtId="0" fontId="38" fillId="0" borderId="0" xfId="0" applyFont="1" applyBorder="1" applyAlignment="1">
      <alignment horizontal="left"/>
    </xf>
    <xf numFmtId="2" fontId="38" fillId="0" borderId="0" xfId="0" applyNumberFormat="1" applyFont="1" applyBorder="1"/>
    <xf numFmtId="0" fontId="6" fillId="2" borderId="0" xfId="0" applyFont="1" applyFill="1" applyAlignment="1">
      <alignment horizontal="left"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/>
    <xf numFmtId="0" fontId="43" fillId="2" borderId="0" xfId="0" applyFont="1" applyFill="1" applyAlignment="1">
      <alignment horizontal="center" vertical="center"/>
    </xf>
    <xf numFmtId="0" fontId="45" fillId="0" borderId="0" xfId="0" applyFont="1" applyFill="1" applyAlignment="1">
      <alignment vertical="center"/>
    </xf>
    <xf numFmtId="0" fontId="45" fillId="0" borderId="0" xfId="0" applyFont="1" applyFill="1" applyBorder="1" applyAlignment="1">
      <alignment horizontal="center" vertical="center"/>
    </xf>
    <xf numFmtId="0" fontId="45" fillId="1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9" fillId="0" borderId="0" xfId="0" applyFont="1" applyBorder="1" applyAlignment="1"/>
    <xf numFmtId="0" fontId="0" fillId="0" borderId="0" xfId="0" applyFont="1" applyBorder="1" applyAlignment="1"/>
    <xf numFmtId="0" fontId="42" fillId="0" borderId="0" xfId="0" applyFont="1" applyBorder="1" applyAlignment="1"/>
    <xf numFmtId="0" fontId="3" fillId="0" borderId="0" xfId="0" applyFont="1" applyBorder="1" applyAlignment="1">
      <alignment horizontal="center" shrinkToFit="1"/>
    </xf>
    <xf numFmtId="168" fontId="26" fillId="6" borderId="3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/>
    <xf numFmtId="0" fontId="5" fillId="2" borderId="0" xfId="0" applyNumberFormat="1" applyFont="1" applyFill="1" applyAlignment="1"/>
    <xf numFmtId="0" fontId="3" fillId="12" borderId="0" xfId="0" applyFont="1" applyFill="1" applyBorder="1" applyAlignment="1">
      <alignment horizontal="center" shrinkToFit="1"/>
    </xf>
    <xf numFmtId="0" fontId="52" fillId="2" borderId="0" xfId="0" applyFont="1" applyFill="1" applyAlignment="1">
      <alignment horizontal="left" vertical="center"/>
    </xf>
    <xf numFmtId="0" fontId="47" fillId="0" borderId="0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75" fontId="5" fillId="0" borderId="0" xfId="0" applyNumberFormat="1" applyFont="1" applyFill="1" applyAlignment="1">
      <alignment horizontal="center" vertical="center"/>
    </xf>
    <xf numFmtId="0" fontId="3" fillId="0" borderId="0" xfId="0" quotePrefix="1" applyFont="1" applyBorder="1" applyAlignment="1">
      <alignment vertical="center"/>
    </xf>
    <xf numFmtId="0" fontId="18" fillId="8" borderId="10" xfId="19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horizontal="left" vertical="center"/>
    </xf>
    <xf numFmtId="1" fontId="45" fillId="14" borderId="0" xfId="0" applyNumberFormat="1" applyFont="1" applyFill="1" applyBorder="1" applyAlignment="1">
      <alignment horizontal="center" vertical="center"/>
    </xf>
    <xf numFmtId="0" fontId="54" fillId="0" borderId="0" xfId="1" applyFont="1" applyAlignment="1">
      <alignment vertical="center"/>
    </xf>
    <xf numFmtId="0" fontId="56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57" fillId="0" borderId="0" xfId="1" applyFont="1" applyAlignment="1">
      <alignment vertical="center"/>
    </xf>
    <xf numFmtId="0" fontId="13" fillId="0" borderId="0" xfId="1" applyFont="1" applyBorder="1" applyAlignment="1">
      <alignment vertical="center"/>
    </xf>
    <xf numFmtId="0" fontId="58" fillId="0" borderId="0" xfId="1" applyFont="1" applyAlignment="1">
      <alignment vertical="center"/>
    </xf>
    <xf numFmtId="0" fontId="58" fillId="0" borderId="0" xfId="1" applyFont="1" applyBorder="1" applyAlignment="1">
      <alignment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horizontal="right" vertical="center"/>
    </xf>
    <xf numFmtId="0" fontId="13" fillId="0" borderId="0" xfId="1" applyFont="1" applyAlignment="1">
      <alignment vertical="center"/>
    </xf>
    <xf numFmtId="0" fontId="58" fillId="0" borderId="0" xfId="1" applyFont="1" applyBorder="1" applyAlignment="1">
      <alignment horizontal="center" vertical="center"/>
    </xf>
    <xf numFmtId="0" fontId="13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59" fillId="0" borderId="0" xfId="3" applyFont="1" applyBorder="1" applyAlignment="1">
      <alignment horizontal="left" vertical="center"/>
    </xf>
    <xf numFmtId="0" fontId="12" fillId="0" borderId="0" xfId="3" applyFont="1" applyBorder="1" applyAlignment="1">
      <alignment horizontal="left" vertical="center"/>
    </xf>
    <xf numFmtId="0" fontId="11" fillId="0" borderId="0" xfId="3" applyFont="1" applyBorder="1" applyAlignment="1">
      <alignment horizontal="left" vertical="center"/>
    </xf>
    <xf numFmtId="0" fontId="11" fillId="0" borderId="0" xfId="1" applyFont="1" applyBorder="1" applyAlignment="1">
      <alignment vertical="center"/>
    </xf>
    <xf numFmtId="0" fontId="58" fillId="0" borderId="0" xfId="2" applyFont="1" applyBorder="1" applyAlignment="1">
      <alignment vertical="center"/>
    </xf>
    <xf numFmtId="0" fontId="12" fillId="0" borderId="0" xfId="3" applyFont="1" applyFill="1" applyBorder="1" applyAlignment="1">
      <alignment horizontal="left" vertical="center"/>
    </xf>
    <xf numFmtId="0" fontId="57" fillId="0" borderId="0" xfId="1" applyFont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58" fillId="0" borderId="1" xfId="1" applyFont="1" applyBorder="1" applyAlignment="1">
      <alignment vertical="center"/>
    </xf>
    <xf numFmtId="0" fontId="58" fillId="0" borderId="1" xfId="1" applyFont="1" applyBorder="1" applyAlignment="1">
      <alignment horizontal="center" vertical="center"/>
    </xf>
    <xf numFmtId="0" fontId="60" fillId="0" borderId="1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12" fillId="0" borderId="1" xfId="3" applyFont="1" applyBorder="1" applyAlignment="1">
      <alignment horizontal="left" vertical="center"/>
    </xf>
    <xf numFmtId="164" fontId="11" fillId="0" borderId="0" xfId="4" applyFont="1" applyFill="1" applyBorder="1" applyAlignment="1" applyProtection="1">
      <alignment vertical="center"/>
      <protection locked="0"/>
    </xf>
    <xf numFmtId="0" fontId="11" fillId="0" borderId="0" xfId="1" applyFont="1" applyBorder="1" applyAlignment="1">
      <alignment horizontal="left" vertical="center"/>
    </xf>
    <xf numFmtId="0" fontId="58" fillId="0" borderId="0" xfId="2" applyFont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/>
    </xf>
    <xf numFmtId="1" fontId="13" fillId="0" borderId="0" xfId="2" applyNumberFormat="1" applyFont="1" applyBorder="1" applyAlignment="1">
      <alignment horizontal="left" vertical="center"/>
    </xf>
    <xf numFmtId="0" fontId="58" fillId="0" borderId="0" xfId="1" applyFont="1" applyAlignment="1">
      <alignment horizontal="left" vertical="center"/>
    </xf>
    <xf numFmtId="0" fontId="58" fillId="0" borderId="0" xfId="2" applyFont="1" applyBorder="1" applyAlignment="1">
      <alignment horizontal="left" vertical="center"/>
    </xf>
    <xf numFmtId="0" fontId="60" fillId="0" borderId="0" xfId="1" applyFont="1" applyAlignment="1">
      <alignment vertical="center"/>
    </xf>
    <xf numFmtId="0" fontId="60" fillId="0" borderId="0" xfId="2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3" fillId="0" borderId="0" xfId="1" applyFont="1" applyBorder="1" applyAlignment="1">
      <alignment horizontal="center" vertical="center"/>
    </xf>
    <xf numFmtId="0" fontId="62" fillId="0" borderId="0" xfId="1" applyFont="1" applyAlignment="1">
      <alignment vertical="center"/>
    </xf>
    <xf numFmtId="0" fontId="62" fillId="0" borderId="0" xfId="1" applyFont="1" applyBorder="1" applyAlignment="1">
      <alignment vertical="center"/>
    </xf>
    <xf numFmtId="0" fontId="12" fillId="0" borderId="0" xfId="1" quotePrefix="1" applyFont="1" applyAlignment="1">
      <alignment vertical="center"/>
    </xf>
    <xf numFmtId="0" fontId="57" fillId="0" borderId="0" xfId="1" applyFont="1" applyAlignment="1">
      <alignment horizontal="center" vertical="center"/>
    </xf>
    <xf numFmtId="0" fontId="11" fillId="0" borderId="0" xfId="6" applyFont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Border="1" applyAlignment="1">
      <alignment horizontal="center" vertical="center"/>
    </xf>
    <xf numFmtId="0" fontId="63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14" fillId="0" borderId="0" xfId="17" applyFont="1" applyFill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57" fillId="0" borderId="0" xfId="1" applyFont="1" applyAlignment="1">
      <alignment horizontal="right" vertical="center"/>
    </xf>
    <xf numFmtId="0" fontId="65" fillId="0" borderId="0" xfId="1" applyFont="1" applyBorder="1" applyAlignment="1">
      <alignment vertical="center"/>
    </xf>
    <xf numFmtId="0" fontId="11" fillId="0" borderId="0" xfId="1" quotePrefix="1" applyFont="1" applyBorder="1" applyAlignment="1">
      <alignment vertical="center" shrinkToFit="1"/>
    </xf>
    <xf numFmtId="0" fontId="63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66" fillId="0" borderId="0" xfId="3" applyFont="1" applyBorder="1" applyAlignment="1">
      <alignment horizontal="left" vertical="center"/>
    </xf>
    <xf numFmtId="0" fontId="23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57" fillId="0" borderId="1" xfId="1" applyFont="1" applyBorder="1" applyAlignment="1">
      <alignment vertical="center"/>
    </xf>
    <xf numFmtId="0" fontId="57" fillId="0" borderId="0" xfId="3" applyFont="1" applyBorder="1" applyAlignment="1">
      <alignment horizontal="left" vertical="center"/>
    </xf>
    <xf numFmtId="0" fontId="11" fillId="0" borderId="0" xfId="2" applyFont="1" applyAlignment="1">
      <alignment vertical="center"/>
    </xf>
    <xf numFmtId="0" fontId="13" fillId="0" borderId="0" xfId="1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63" fillId="0" borderId="0" xfId="2" applyFont="1" applyBorder="1" applyAlignment="1">
      <alignment horizontal="center" vertical="center"/>
    </xf>
    <xf numFmtId="176" fontId="2" fillId="0" borderId="0" xfId="2" quotePrefix="1" applyNumberFormat="1" applyFont="1" applyBorder="1" applyAlignment="1">
      <alignment vertical="center"/>
    </xf>
    <xf numFmtId="176" fontId="2" fillId="0" borderId="0" xfId="2" applyNumberFormat="1" applyFont="1" applyBorder="1" applyAlignment="1">
      <alignment vertical="center"/>
    </xf>
    <xf numFmtId="0" fontId="57" fillId="0" borderId="0" xfId="2" applyFont="1" applyBorder="1" applyAlignment="1">
      <alignment vertical="center"/>
    </xf>
    <xf numFmtId="0" fontId="69" fillId="0" borderId="0" xfId="2" applyFont="1" applyBorder="1" applyAlignment="1">
      <alignment horizontal="left" vertical="center"/>
    </xf>
    <xf numFmtId="0" fontId="65" fillId="0" borderId="0" xfId="2" applyFont="1" applyBorder="1" applyAlignment="1">
      <alignment horizontal="center" vertical="center"/>
    </xf>
    <xf numFmtId="177" fontId="65" fillId="0" borderId="0" xfId="2" applyNumberFormat="1" applyFont="1" applyBorder="1" applyAlignment="1">
      <alignment horizontal="left" vertical="center"/>
    </xf>
    <xf numFmtId="0" fontId="23" fillId="0" borderId="0" xfId="1" applyFont="1" applyBorder="1" applyAlignment="1">
      <alignment vertical="center"/>
    </xf>
    <xf numFmtId="167" fontId="2" fillId="0" borderId="0" xfId="2" applyNumberFormat="1" applyFont="1" applyBorder="1" applyAlignment="1">
      <alignment horizontal="left" vertical="center"/>
    </xf>
    <xf numFmtId="0" fontId="63" fillId="0" borderId="0" xfId="1" applyFont="1" applyAlignment="1">
      <alignment vertical="center"/>
    </xf>
    <xf numFmtId="0" fontId="70" fillId="0" borderId="0" xfId="1" applyFont="1" applyAlignment="1">
      <alignment vertical="center"/>
    </xf>
    <xf numFmtId="0" fontId="24" fillId="0" borderId="0" xfId="2" applyFont="1" applyBorder="1" applyAlignment="1">
      <alignment horizontal="left" vertical="center"/>
    </xf>
    <xf numFmtId="0" fontId="65" fillId="0" borderId="0" xfId="2" applyFont="1" applyBorder="1" applyAlignment="1">
      <alignment horizontal="left" vertical="center"/>
    </xf>
    <xf numFmtId="0" fontId="11" fillId="0" borderId="0" xfId="2" applyFont="1" applyBorder="1" applyAlignment="1">
      <alignment horizontal="left" vertical="center"/>
    </xf>
    <xf numFmtId="0" fontId="63" fillId="0" borderId="0" xfId="1" applyFont="1" applyBorder="1" applyAlignment="1">
      <alignment horizontal="center" vertical="center"/>
    </xf>
    <xf numFmtId="0" fontId="65" fillId="0" borderId="0" xfId="2" applyFont="1" applyBorder="1" applyAlignment="1">
      <alignment vertical="center"/>
    </xf>
    <xf numFmtId="0" fontId="11" fillId="0" borderId="0" xfId="5" applyFont="1" applyBorder="1" applyAlignment="1">
      <alignment vertical="center"/>
    </xf>
    <xf numFmtId="0" fontId="12" fillId="0" borderId="0" xfId="1" quotePrefix="1" applyFont="1" applyBorder="1" applyAlignment="1">
      <alignment vertical="center"/>
    </xf>
    <xf numFmtId="0" fontId="2" fillId="0" borderId="0" xfId="1" quotePrefix="1" applyFont="1" applyBorder="1" applyAlignment="1">
      <alignment vertical="center"/>
    </xf>
    <xf numFmtId="167" fontId="57" fillId="0" borderId="0" xfId="1" applyNumberFormat="1" applyFont="1" applyBorder="1" applyAlignment="1">
      <alignment vertical="center"/>
    </xf>
    <xf numFmtId="2" fontId="57" fillId="0" borderId="0" xfId="2" applyNumberFormat="1" applyFont="1" applyBorder="1" applyAlignment="1">
      <alignment vertical="center"/>
    </xf>
    <xf numFmtId="1" fontId="57" fillId="0" borderId="0" xfId="2" applyNumberFormat="1" applyFont="1" applyBorder="1" applyAlignment="1">
      <alignment vertical="center"/>
    </xf>
    <xf numFmtId="167" fontId="2" fillId="0" borderId="0" xfId="1" applyNumberFormat="1" applyFont="1" applyBorder="1" applyAlignment="1">
      <alignment vertical="center"/>
    </xf>
    <xf numFmtId="0" fontId="12" fillId="0" borderId="0" xfId="2" applyNumberFormat="1" applyFont="1" applyBorder="1" applyAlignment="1">
      <alignment vertical="center"/>
    </xf>
    <xf numFmtId="0" fontId="71" fillId="0" borderId="0" xfId="2" applyNumberFormat="1" applyFont="1" applyAlignment="1">
      <alignment vertical="center"/>
    </xf>
    <xf numFmtId="0" fontId="59" fillId="0" borderId="0" xfId="2" applyNumberFormat="1" applyFont="1" applyAlignment="1">
      <alignment vertical="center"/>
    </xf>
    <xf numFmtId="0" fontId="12" fillId="0" borderId="0" xfId="2" applyNumberFormat="1" applyFont="1" applyAlignment="1">
      <alignment vertical="center"/>
    </xf>
    <xf numFmtId="0" fontId="13" fillId="0" borderId="0" xfId="2" applyNumberFormat="1" applyFont="1" applyBorder="1" applyAlignment="1">
      <alignment vertical="center"/>
    </xf>
    <xf numFmtId="0" fontId="12" fillId="0" borderId="0" xfId="1" applyNumberFormat="1" applyFont="1" applyBorder="1" applyAlignment="1">
      <alignment vertical="center"/>
    </xf>
    <xf numFmtId="0" fontId="72" fillId="0" borderId="0" xfId="2" applyNumberFormat="1" applyFont="1" applyBorder="1" applyAlignment="1">
      <alignment horizontal="right" vertical="center"/>
    </xf>
    <xf numFmtId="0" fontId="13" fillId="0" borderId="0" xfId="1" applyNumberFormat="1" applyFont="1" applyAlignment="1">
      <alignment vertical="center"/>
    </xf>
    <xf numFmtId="0" fontId="74" fillId="6" borderId="0" xfId="0" applyFont="1" applyFill="1" applyBorder="1" applyAlignment="1">
      <alignment vertical="center" wrapText="1"/>
    </xf>
    <xf numFmtId="2" fontId="75" fillId="2" borderId="0" xfId="0" applyNumberFormat="1" applyFont="1" applyFill="1" applyBorder="1" applyAlignment="1">
      <alignment vertical="center"/>
    </xf>
    <xf numFmtId="1" fontId="76" fillId="2" borderId="0" xfId="0" applyNumberFormat="1" applyFont="1" applyFill="1" applyBorder="1" applyAlignment="1">
      <alignment vertical="center"/>
    </xf>
    <xf numFmtId="0" fontId="12" fillId="0" borderId="0" xfId="17" applyNumberFormat="1" applyFont="1" applyBorder="1"/>
    <xf numFmtId="0" fontId="12" fillId="0" borderId="0" xfId="7" applyNumberFormat="1" applyFont="1" applyBorder="1" applyAlignment="1">
      <alignment vertical="center"/>
    </xf>
    <xf numFmtId="0" fontId="12" fillId="0" borderId="0" xfId="7" applyNumberFormat="1" applyFont="1" applyAlignment="1">
      <alignment vertical="center"/>
    </xf>
    <xf numFmtId="0" fontId="73" fillId="6" borderId="0" xfId="0" applyFont="1" applyFill="1" applyBorder="1" applyAlignment="1">
      <alignment vertical="center"/>
    </xf>
    <xf numFmtId="0" fontId="12" fillId="0" borderId="0" xfId="2" quotePrefix="1" applyNumberFormat="1" applyFont="1" applyBorder="1" applyAlignment="1">
      <alignment vertical="center"/>
    </xf>
    <xf numFmtId="0" fontId="68" fillId="0" borderId="0" xfId="8" applyNumberFormat="1" applyFont="1" applyBorder="1" applyAlignment="1">
      <alignment vertical="center" shrinkToFit="1"/>
    </xf>
    <xf numFmtId="0" fontId="12" fillId="0" borderId="0" xfId="0" applyNumberFormat="1" applyFont="1" applyBorder="1" applyAlignment="1">
      <alignment vertical="center"/>
    </xf>
    <xf numFmtId="0" fontId="12" fillId="0" borderId="0" xfId="7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0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1" fillId="2" borderId="3" xfId="0" applyFont="1" applyFill="1" applyBorder="1" applyAlignment="1">
      <alignment horizontal="center" vertical="center"/>
    </xf>
    <xf numFmtId="173" fontId="32" fillId="6" borderId="9" xfId="0" applyNumberFormat="1" applyFont="1" applyFill="1" applyBorder="1" applyAlignment="1">
      <alignment horizontal="center" vertical="center"/>
    </xf>
    <xf numFmtId="170" fontId="22" fillId="6" borderId="9" xfId="0" applyNumberFormat="1" applyFont="1" applyFill="1" applyBorder="1" applyAlignment="1">
      <alignment horizontal="center" vertical="center"/>
    </xf>
    <xf numFmtId="0" fontId="79" fillId="0" borderId="10" xfId="0" applyFont="1" applyFill="1" applyBorder="1" applyAlignment="1">
      <alignment horizontal="center" vertical="center"/>
    </xf>
    <xf numFmtId="0" fontId="78" fillId="0" borderId="1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7" fillId="2" borderId="3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84" fillId="9" borderId="3" xfId="0" applyFont="1" applyFill="1" applyBorder="1" applyAlignment="1">
      <alignment horizontal="center"/>
    </xf>
    <xf numFmtId="0" fontId="87" fillId="2" borderId="3" xfId="0" applyFont="1" applyFill="1" applyBorder="1" applyAlignment="1">
      <alignment horizontal="center" vertical="center"/>
    </xf>
    <xf numFmtId="2" fontId="22" fillId="6" borderId="2" xfId="0" applyNumberFormat="1" applyFont="1" applyFill="1" applyBorder="1" applyAlignment="1">
      <alignment horizontal="center" vertical="center"/>
    </xf>
    <xf numFmtId="165" fontId="88" fillId="16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65" fontId="22" fillId="6" borderId="1" xfId="0" applyNumberFormat="1" applyFont="1" applyFill="1" applyBorder="1" applyAlignment="1">
      <alignment horizontal="center" vertical="center"/>
    </xf>
    <xf numFmtId="168" fontId="22" fillId="6" borderId="0" xfId="0" applyNumberFormat="1" applyFont="1" applyFill="1" applyBorder="1" applyAlignment="1">
      <alignment horizontal="center" vertical="center"/>
    </xf>
    <xf numFmtId="0" fontId="73" fillId="6" borderId="0" xfId="0" applyFont="1" applyFill="1" applyBorder="1" applyAlignment="1">
      <alignment vertical="center" wrapText="1"/>
    </xf>
    <xf numFmtId="1" fontId="61" fillId="2" borderId="0" xfId="0" applyNumberFormat="1" applyFont="1" applyFill="1" applyBorder="1" applyAlignment="1">
      <alignment vertical="center"/>
    </xf>
    <xf numFmtId="166" fontId="12" fillId="2" borderId="0" xfId="0" applyNumberFormat="1" applyFont="1" applyFill="1" applyBorder="1" applyAlignment="1">
      <alignment vertical="center"/>
    </xf>
    <xf numFmtId="2" fontId="12" fillId="2" borderId="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168" fontId="37" fillId="0" borderId="0" xfId="0" applyNumberFormat="1" applyFont="1" applyBorder="1" applyAlignment="1">
      <alignment vertical="center"/>
    </xf>
    <xf numFmtId="0" fontId="15" fillId="0" borderId="0" xfId="16" applyFont="1" applyFill="1" applyAlignment="1"/>
    <xf numFmtId="0" fontId="15" fillId="0" borderId="0" xfId="16" applyFont="1" applyFill="1" applyBorder="1" applyAlignment="1"/>
    <xf numFmtId="167" fontId="15" fillId="0" borderId="0" xfId="16" applyNumberFormat="1" applyFont="1" applyFill="1" applyBorder="1" applyAlignment="1"/>
    <xf numFmtId="0" fontId="15" fillId="0" borderId="0" xfId="16" applyFont="1" applyFill="1" applyAlignment="1">
      <alignment horizontal="center"/>
    </xf>
    <xf numFmtId="0" fontId="15" fillId="0" borderId="0" xfId="16" applyFont="1" applyFill="1" applyAlignment="1">
      <alignment horizontal="left"/>
    </xf>
    <xf numFmtId="0" fontId="15" fillId="0" borderId="0" xfId="0" applyFont="1" applyFill="1" applyBorder="1" applyAlignment="1"/>
    <xf numFmtId="0" fontId="15" fillId="0" borderId="0" xfId="0" applyFont="1" applyFill="1" applyAlignment="1">
      <alignment vertical="center"/>
    </xf>
    <xf numFmtId="0" fontId="15" fillId="0" borderId="4" xfId="0" applyFont="1" applyFill="1" applyBorder="1" applyAlignment="1"/>
    <xf numFmtId="0" fontId="15" fillId="0" borderId="0" xfId="0" applyFont="1" applyFill="1" applyAlignment="1"/>
    <xf numFmtId="0" fontId="15" fillId="0" borderId="0" xfId="0" applyFont="1" applyFill="1" applyAlignment="1">
      <alignment horizontal="left"/>
    </xf>
    <xf numFmtId="0" fontId="78" fillId="0" borderId="0" xfId="0" applyFont="1" applyBorder="1" applyAlignment="1">
      <alignment horizontal="center"/>
    </xf>
    <xf numFmtId="0" fontId="15" fillId="0" borderId="1" xfId="0" applyFont="1" applyFill="1" applyBorder="1" applyAlignment="1"/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4" fillId="0" borderId="1" xfId="17" applyFont="1" applyFill="1" applyBorder="1" applyAlignment="1">
      <alignment vertical="center"/>
    </xf>
    <xf numFmtId="0" fontId="14" fillId="0" borderId="0" xfId="17" applyFont="1" applyFill="1" applyBorder="1" applyAlignment="1">
      <alignment vertical="center"/>
    </xf>
    <xf numFmtId="0" fontId="15" fillId="0" borderId="1" xfId="0" applyFont="1" applyFill="1" applyBorder="1" applyAlignment="1">
      <alignment horizontal="center"/>
    </xf>
    <xf numFmtId="0" fontId="78" fillId="0" borderId="1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1" fontId="12" fillId="0" borderId="0" xfId="2" quotePrefix="1" applyNumberFormat="1" applyFont="1" applyBorder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94" fillId="0" borderId="0" xfId="1" applyFont="1" applyBorder="1" applyAlignment="1">
      <alignment vertical="center"/>
    </xf>
    <xf numFmtId="0" fontId="94" fillId="0" borderId="0" xfId="1" applyFont="1" applyAlignment="1">
      <alignment vertical="center"/>
    </xf>
    <xf numFmtId="0" fontId="94" fillId="0" borderId="0" xfId="1" applyFont="1" applyAlignment="1">
      <alignment horizontal="center" vertical="center"/>
    </xf>
    <xf numFmtId="0" fontId="95" fillId="0" borderId="0" xfId="1" applyFont="1" applyBorder="1" applyAlignment="1">
      <alignment vertical="center"/>
    </xf>
    <xf numFmtId="0" fontId="95" fillId="0" borderId="0" xfId="1" applyFont="1" applyAlignment="1">
      <alignment vertical="center"/>
    </xf>
    <xf numFmtId="0" fontId="94" fillId="0" borderId="0" xfId="1" applyFont="1" applyAlignment="1">
      <alignment horizontal="right" vertical="center"/>
    </xf>
    <xf numFmtId="0" fontId="94" fillId="0" borderId="0" xfId="1" applyFont="1" applyBorder="1" applyAlignment="1">
      <alignment horizontal="center" vertical="center"/>
    </xf>
    <xf numFmtId="0" fontId="94" fillId="0" borderId="0" xfId="2" applyFont="1" applyBorder="1" applyAlignment="1">
      <alignment vertical="center"/>
    </xf>
    <xf numFmtId="0" fontId="95" fillId="0" borderId="0" xfId="2" applyFont="1" applyBorder="1" applyAlignment="1">
      <alignment vertical="center"/>
    </xf>
    <xf numFmtId="0" fontId="96" fillId="0" borderId="0" xfId="3" applyFont="1" applyBorder="1" applyAlignment="1">
      <alignment horizontal="left" vertical="center"/>
    </xf>
    <xf numFmtId="0" fontId="95" fillId="0" borderId="0" xfId="3" applyFont="1" applyBorder="1" applyAlignment="1">
      <alignment horizontal="left" vertical="center"/>
    </xf>
    <xf numFmtId="0" fontId="95" fillId="0" borderId="0" xfId="2" applyFont="1" applyBorder="1" applyAlignment="1">
      <alignment horizontal="left" vertical="center"/>
    </xf>
    <xf numFmtId="0" fontId="95" fillId="0" borderId="0" xfId="3" applyFont="1" applyFill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164" fontId="11" fillId="0" borderId="1" xfId="4" applyFont="1" applyFill="1" applyBorder="1" applyAlignment="1" applyProtection="1">
      <alignment vertical="center"/>
      <protection locked="0"/>
    </xf>
    <xf numFmtId="0" fontId="11" fillId="0" borderId="1" xfId="1" applyFont="1" applyBorder="1" applyAlignment="1">
      <alignment horizontal="left" vertical="center"/>
    </xf>
    <xf numFmtId="0" fontId="13" fillId="0" borderId="0" xfId="3" applyFont="1" applyFill="1" applyBorder="1" applyAlignment="1">
      <alignment horizontal="left"/>
    </xf>
    <xf numFmtId="0" fontId="94" fillId="0" borderId="0" xfId="2" applyFont="1" applyBorder="1" applyAlignment="1">
      <alignment horizontal="left" vertical="center"/>
    </xf>
    <xf numFmtId="0" fontId="95" fillId="0" borderId="0" xfId="2" quotePrefix="1" applyFont="1" applyBorder="1" applyAlignment="1">
      <alignment vertical="center"/>
    </xf>
    <xf numFmtId="1" fontId="12" fillId="0" borderId="0" xfId="2" quotePrefix="1" applyNumberFormat="1" applyFont="1" applyBorder="1" applyAlignment="1">
      <alignment vertical="center"/>
    </xf>
    <xf numFmtId="1" fontId="95" fillId="0" borderId="0" xfId="2" applyNumberFormat="1" applyFont="1" applyBorder="1" applyAlignment="1">
      <alignment horizontal="left" vertical="center"/>
    </xf>
    <xf numFmtId="1" fontId="95" fillId="0" borderId="0" xfId="2" quotePrefix="1" applyNumberFormat="1" applyFont="1" applyBorder="1" applyAlignment="1">
      <alignment horizontal="left" vertical="center"/>
    </xf>
    <xf numFmtId="176" fontId="12" fillId="0" borderId="0" xfId="2" quotePrefix="1" applyNumberFormat="1" applyFont="1" applyBorder="1" applyAlignment="1">
      <alignment vertical="center"/>
    </xf>
    <xf numFmtId="0" fontId="97" fillId="0" borderId="0" xfId="2" applyFont="1" applyBorder="1" applyAlignment="1">
      <alignment horizontal="left" vertical="center"/>
    </xf>
    <xf numFmtId="178" fontId="95" fillId="0" borderId="0" xfId="2" quotePrefix="1" applyNumberFormat="1" applyFont="1" applyBorder="1" applyAlignment="1">
      <alignment horizontal="left" vertical="center"/>
    </xf>
    <xf numFmtId="9" fontId="97" fillId="0" borderId="0" xfId="2" applyNumberFormat="1" applyFont="1" applyBorder="1" applyAlignment="1">
      <alignment horizontal="left" vertical="center"/>
    </xf>
    <xf numFmtId="176" fontId="12" fillId="0" borderId="0" xfId="2" applyNumberFormat="1" applyFont="1" applyBorder="1" applyAlignment="1">
      <alignment vertical="center"/>
    </xf>
    <xf numFmtId="176" fontId="95" fillId="0" borderId="0" xfId="2" applyNumberFormat="1" applyFont="1" applyBorder="1" applyAlignment="1">
      <alignment horizontal="left" vertical="center"/>
    </xf>
    <xf numFmtId="0" fontId="12" fillId="0" borderId="0" xfId="6" applyFont="1" applyBorder="1" applyAlignment="1">
      <alignment vertical="center"/>
    </xf>
    <xf numFmtId="0" fontId="64" fillId="0" borderId="0" xfId="27" applyFont="1"/>
    <xf numFmtId="167" fontId="95" fillId="0" borderId="0" xfId="1" applyNumberFormat="1" applyFont="1" applyAlignment="1">
      <alignment vertical="center"/>
    </xf>
    <xf numFmtId="0" fontId="95" fillId="0" borderId="1" xfId="1" applyFont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95" fillId="0" borderId="0" xfId="1" applyFont="1" applyBorder="1" applyAlignment="1">
      <alignment horizontal="left" vertical="center"/>
    </xf>
    <xf numFmtId="0" fontId="95" fillId="0" borderId="0" xfId="1" applyFont="1" applyAlignment="1">
      <alignment horizontal="center" vertical="center"/>
    </xf>
    <xf numFmtId="2" fontId="95" fillId="0" borderId="0" xfId="2" applyNumberFormat="1" applyFont="1" applyBorder="1" applyAlignment="1">
      <alignment vertical="center"/>
    </xf>
    <xf numFmtId="0" fontId="98" fillId="0" borderId="0" xfId="27" applyFont="1" applyFill="1" applyBorder="1" applyAlignment="1">
      <alignment vertical="center"/>
    </xf>
    <xf numFmtId="0" fontId="2" fillId="0" borderId="0" xfId="27" applyFont="1" applyAlignment="1">
      <alignment vertical="center"/>
    </xf>
    <xf numFmtId="0" fontId="3" fillId="0" borderId="0" xfId="27"/>
    <xf numFmtId="0" fontId="14" fillId="0" borderId="0" xfId="27" applyFont="1" applyFill="1" applyAlignment="1">
      <alignment vertical="center"/>
    </xf>
    <xf numFmtId="0" fontId="24" fillId="0" borderId="0" xfId="27" applyFont="1" applyAlignment="1">
      <alignment vertical="center"/>
    </xf>
    <xf numFmtId="2" fontId="12" fillId="0" borderId="0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/>
    <xf numFmtId="0" fontId="14" fillId="0" borderId="0" xfId="0" applyFont="1"/>
    <xf numFmtId="0" fontId="12" fillId="0" borderId="0" xfId="0" applyFont="1" applyBorder="1" applyAlignment="1">
      <alignment vertical="center"/>
    </xf>
    <xf numFmtId="0" fontId="14" fillId="0" borderId="0" xfId="0" applyFont="1" applyFill="1" applyAlignment="1"/>
    <xf numFmtId="0" fontId="14" fillId="0" borderId="0" xfId="17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168" fontId="12" fillId="0" borderId="0" xfId="0" applyNumberFormat="1" applyFont="1" applyBorder="1" applyAlignment="1">
      <alignment vertical="center"/>
    </xf>
    <xf numFmtId="0" fontId="14" fillId="6" borderId="0" xfId="0" applyFont="1" applyFill="1" applyBorder="1" applyAlignment="1">
      <alignment vertical="center"/>
    </xf>
    <xf numFmtId="166" fontId="12" fillId="2" borderId="0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Border="1" applyAlignment="1">
      <alignment vertical="center"/>
    </xf>
    <xf numFmtId="0" fontId="12" fillId="0" borderId="10" xfId="2" applyNumberFormat="1" applyFont="1" applyBorder="1" applyAlignment="1">
      <alignment vertical="center"/>
    </xf>
    <xf numFmtId="0" fontId="12" fillId="0" borderId="2" xfId="2" applyNumberFormat="1" applyFont="1" applyBorder="1" applyAlignment="1">
      <alignment vertical="center"/>
    </xf>
    <xf numFmtId="0" fontId="14" fillId="6" borderId="11" xfId="0" applyFont="1" applyFill="1" applyBorder="1" applyAlignment="1">
      <alignment vertical="center"/>
    </xf>
    <xf numFmtId="2" fontId="100" fillId="2" borderId="0" xfId="0" applyNumberFormat="1" applyFont="1" applyFill="1" applyBorder="1" applyAlignment="1">
      <alignment vertical="center"/>
    </xf>
    <xf numFmtId="165" fontId="61" fillId="2" borderId="0" xfId="0" applyNumberFormat="1" applyFont="1" applyFill="1" applyBorder="1" applyAlignment="1">
      <alignment vertical="center"/>
    </xf>
    <xf numFmtId="2" fontId="12" fillId="0" borderId="17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2" fontId="14" fillId="0" borderId="8" xfId="0" applyNumberFormat="1" applyFont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65" fontId="37" fillId="13" borderId="0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/>
    </xf>
    <xf numFmtId="1" fontId="45" fillId="14" borderId="0" xfId="0" applyNumberFormat="1" applyFont="1" applyFill="1" applyBorder="1" applyAlignment="1">
      <alignment horizontal="center" vertical="center"/>
    </xf>
    <xf numFmtId="0" fontId="45" fillId="14" borderId="0" xfId="0" applyFont="1" applyFill="1" applyBorder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6" fontId="51" fillId="0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78" fontId="15" fillId="0" borderId="1" xfId="16" applyNumberFormat="1" applyFont="1" applyFill="1" applyBorder="1" applyAlignment="1">
      <alignment horizontal="left"/>
    </xf>
    <xf numFmtId="0" fontId="15" fillId="0" borderId="1" xfId="16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0" fontId="25" fillId="4" borderId="0" xfId="16" applyFont="1" applyFill="1" applyBorder="1" applyAlignment="1">
      <alignment horizontal="center" vertical="center"/>
    </xf>
    <xf numFmtId="0" fontId="15" fillId="0" borderId="1" xfId="16" applyFont="1" applyFill="1" applyBorder="1" applyAlignment="1">
      <alignment horizontal="left"/>
    </xf>
    <xf numFmtId="178" fontId="15" fillId="0" borderId="2" xfId="16" applyNumberFormat="1" applyFont="1" applyFill="1" applyBorder="1" applyAlignment="1">
      <alignment horizontal="left"/>
    </xf>
    <xf numFmtId="0" fontId="24" fillId="5" borderId="0" xfId="16" applyFont="1" applyFill="1" applyBorder="1" applyAlignment="1">
      <alignment horizontal="center" vertical="center"/>
    </xf>
    <xf numFmtId="0" fontId="92" fillId="12" borderId="0" xfId="16" applyFont="1" applyFill="1" applyBorder="1" applyAlignment="1">
      <alignment horizontal="center" vertical="center"/>
    </xf>
    <xf numFmtId="0" fontId="14" fillId="0" borderId="0" xfId="17" applyFont="1" applyFill="1" applyAlignment="1">
      <alignment horizontal="left" vertical="center"/>
    </xf>
    <xf numFmtId="0" fontId="14" fillId="0" borderId="1" xfId="0" applyFont="1" applyFill="1" applyBorder="1" applyAlignment="1">
      <alignment horizontal="center"/>
    </xf>
    <xf numFmtId="0" fontId="78" fillId="0" borderId="1" xfId="0" applyFont="1" applyBorder="1" applyAlignment="1">
      <alignment horizontal="center"/>
    </xf>
    <xf numFmtId="0" fontId="78" fillId="0" borderId="2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165" fontId="37" fillId="10" borderId="0" xfId="0" applyNumberFormat="1" applyFont="1" applyFill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5" fillId="0" borderId="0" xfId="1" applyFont="1" applyBorder="1" applyAlignment="1">
      <alignment horizontal="center" vertical="center"/>
    </xf>
    <xf numFmtId="0" fontId="95" fillId="0" borderId="0" xfId="1" applyFont="1" applyAlignment="1">
      <alignment horizontal="center" vertical="center"/>
    </xf>
    <xf numFmtId="0" fontId="11" fillId="0" borderId="0" xfId="1" quotePrefix="1" applyFont="1" applyBorder="1" applyAlignment="1">
      <alignment horizontal="center" vertical="center" shrinkToFit="1"/>
    </xf>
    <xf numFmtId="0" fontId="93" fillId="0" borderId="0" xfId="1" applyFont="1" applyAlignment="1">
      <alignment horizontal="center" vertical="center"/>
    </xf>
    <xf numFmtId="1" fontId="95" fillId="0" borderId="0" xfId="2" quotePrefix="1" applyNumberFormat="1" applyFont="1" applyBorder="1" applyAlignment="1">
      <alignment horizontal="left" vertical="center"/>
    </xf>
    <xf numFmtId="178" fontId="95" fillId="0" borderId="0" xfId="2" quotePrefix="1" applyNumberFormat="1" applyFont="1" applyBorder="1" applyAlignment="1">
      <alignment horizontal="left" vertical="center"/>
    </xf>
    <xf numFmtId="178" fontId="95" fillId="0" borderId="0" xfId="2" applyNumberFormat="1" applyFont="1" applyBorder="1" applyAlignment="1">
      <alignment horizontal="left" vertical="center"/>
    </xf>
    <xf numFmtId="179" fontId="95" fillId="0" borderId="0" xfId="1" applyNumberFormat="1" applyFont="1" applyAlignment="1">
      <alignment horizontal="left" vertical="center"/>
    </xf>
    <xf numFmtId="176" fontId="2" fillId="0" borderId="0" xfId="2" quotePrefix="1" applyNumberFormat="1" applyFont="1" applyBorder="1" applyAlignment="1">
      <alignment horizontal="left" vertical="center"/>
    </xf>
    <xf numFmtId="176" fontId="2" fillId="0" borderId="0" xfId="2" applyNumberFormat="1" applyFont="1" applyBorder="1" applyAlignment="1">
      <alignment horizontal="left" vertical="center"/>
    </xf>
    <xf numFmtId="177" fontId="2" fillId="0" borderId="0" xfId="1" applyNumberFormat="1" applyFont="1" applyBorder="1" applyAlignment="1">
      <alignment horizontal="left" vertical="center"/>
    </xf>
    <xf numFmtId="0" fontId="23" fillId="0" borderId="0" xfId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68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0" xfId="1" quotePrefix="1" applyFont="1" applyBorder="1" applyAlignment="1">
      <alignment horizontal="center" vertical="center"/>
    </xf>
    <xf numFmtId="178" fontId="12" fillId="0" borderId="10" xfId="1" applyNumberFormat="1" applyFont="1" applyBorder="1" applyAlignment="1">
      <alignment horizontal="center" vertical="center"/>
    </xf>
    <xf numFmtId="178" fontId="12" fillId="0" borderId="2" xfId="1" applyNumberFormat="1" applyFont="1" applyBorder="1" applyAlignment="1">
      <alignment horizontal="center" vertical="center"/>
    </xf>
    <xf numFmtId="178" fontId="12" fillId="0" borderId="11" xfId="1" applyNumberFormat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12" fillId="0" borderId="0" xfId="1" applyFont="1" applyBorder="1" applyAlignment="1">
      <alignment horizontal="left" vertical="center"/>
    </xf>
    <xf numFmtId="0" fontId="67" fillId="0" borderId="0" xfId="1" applyFont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2" fontId="14" fillId="6" borderId="10" xfId="0" applyNumberFormat="1" applyFont="1" applyFill="1" applyBorder="1" applyAlignment="1">
      <alignment horizontal="center" vertical="center"/>
    </xf>
    <xf numFmtId="2" fontId="14" fillId="6" borderId="11" xfId="0" applyNumberFormat="1" applyFont="1" applyFill="1" applyBorder="1" applyAlignment="1">
      <alignment horizontal="center" vertical="center"/>
    </xf>
    <xf numFmtId="0" fontId="12" fillId="0" borderId="0" xfId="17" quotePrefix="1" applyNumberFormat="1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11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 shrinkToFit="1"/>
    </xf>
    <xf numFmtId="0" fontId="55" fillId="0" borderId="0" xfId="2" applyNumberFormat="1" applyFont="1" applyBorder="1" applyAlignment="1">
      <alignment horizontal="center" vertical="center"/>
    </xf>
    <xf numFmtId="0" fontId="13" fillId="0" borderId="0" xfId="1" applyNumberFormat="1" applyFont="1" applyAlignment="1">
      <alignment horizontal="right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78" fillId="0" borderId="10" xfId="0" applyFont="1" applyFill="1" applyBorder="1" applyAlignment="1">
      <alignment horizontal="left" vertical="center"/>
    </xf>
    <xf numFmtId="0" fontId="78" fillId="0" borderId="2" xfId="0" applyFont="1" applyFill="1" applyBorder="1" applyAlignment="1">
      <alignment horizontal="left" vertical="center"/>
    </xf>
    <xf numFmtId="0" fontId="78" fillId="0" borderId="11" xfId="0" applyFont="1" applyFill="1" applyBorder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171" fontId="35" fillId="8" borderId="10" xfId="19" applyNumberFormat="1" applyFont="1" applyFill="1" applyBorder="1" applyAlignment="1" applyProtection="1">
      <alignment horizontal="center" vertical="center"/>
      <protection locked="0"/>
    </xf>
    <xf numFmtId="171" fontId="35" fillId="8" borderId="2" xfId="19" applyNumberFormat="1" applyFont="1" applyFill="1" applyBorder="1" applyAlignment="1" applyProtection="1">
      <alignment horizontal="center" vertical="center"/>
      <protection locked="0"/>
    </xf>
    <xf numFmtId="171" fontId="35" fillId="8" borderId="11" xfId="19" applyNumberFormat="1" applyFont="1" applyFill="1" applyBorder="1" applyAlignment="1" applyProtection="1">
      <alignment horizontal="center" vertical="center"/>
      <protection locked="0"/>
    </xf>
    <xf numFmtId="0" fontId="29" fillId="11" borderId="10" xfId="19" applyFont="1" applyFill="1" applyBorder="1" applyAlignment="1" applyProtection="1">
      <alignment horizontal="center" vertical="center"/>
      <protection locked="0"/>
    </xf>
    <xf numFmtId="0" fontId="29" fillId="11" borderId="2" xfId="19" applyFont="1" applyFill="1" applyBorder="1" applyAlignment="1" applyProtection="1">
      <alignment horizontal="center" vertical="center"/>
      <protection locked="0"/>
    </xf>
    <xf numFmtId="0" fontId="29" fillId="11" borderId="11" xfId="19" applyFont="1" applyFill="1" applyBorder="1" applyAlignment="1" applyProtection="1">
      <alignment horizontal="center" vertical="center"/>
      <protection locked="0"/>
    </xf>
    <xf numFmtId="0" fontId="34" fillId="7" borderId="10" xfId="19" applyFont="1" applyFill="1" applyBorder="1" applyAlignment="1" applyProtection="1">
      <alignment horizontal="center" vertical="center"/>
      <protection locked="0"/>
    </xf>
    <xf numFmtId="0" fontId="34" fillId="7" borderId="2" xfId="19" applyFont="1" applyFill="1" applyBorder="1" applyAlignment="1" applyProtection="1">
      <alignment horizontal="center" vertical="center"/>
      <protection locked="0"/>
    </xf>
    <xf numFmtId="0" fontId="34" fillId="7" borderId="11" xfId="19" applyFont="1" applyFill="1" applyBorder="1" applyAlignment="1" applyProtection="1">
      <alignment horizontal="center" vertical="center"/>
      <protection locked="0"/>
    </xf>
  </cellXfs>
  <cellStyles count="56">
    <cellStyle name="active" xfId="28"/>
    <cellStyle name="Comma 2" xfId="4"/>
    <cellStyle name="Comma 2 2" xfId="21"/>
    <cellStyle name="Comma 2 2 2" xfId="22"/>
    <cellStyle name="Comma 2 3" xfId="23"/>
    <cellStyle name="Comma 3" xfId="29"/>
    <cellStyle name="Euro" xfId="30"/>
    <cellStyle name="Grey" xfId="31"/>
    <cellStyle name="Header1" xfId="32"/>
    <cellStyle name="Header2" xfId="33"/>
    <cellStyle name="Input [yellow]" xfId="34"/>
    <cellStyle name="Normal" xfId="0" builtinId="0"/>
    <cellStyle name="Normal - Style1" xfId="27"/>
    <cellStyle name="Normal - Style1 2" xfId="35"/>
    <cellStyle name="Normal 2" xfId="2"/>
    <cellStyle name="Normal 2 2" xfId="6"/>
    <cellStyle name="Normal 2 2 6" xfId="7"/>
    <cellStyle name="Normal 2 2 7" xfId="14"/>
    <cellStyle name="Normal 2 2 8" xfId="8"/>
    <cellStyle name="Normal 3" xfId="9"/>
    <cellStyle name="Normal 3 2" xfId="24"/>
    <cellStyle name="Normal 4" xfId="1"/>
    <cellStyle name="Normal 4 2" xfId="10"/>
    <cellStyle name="Normal 4 7" xfId="13"/>
    <cellStyle name="Normal 5" xfId="20"/>
    <cellStyle name="Normal 5 2" xfId="25"/>
    <cellStyle name="Normal 5 3" xfId="26"/>
    <cellStyle name="Normal 6" xfId="11"/>
    <cellStyle name="Normal 6 2" xfId="17"/>
    <cellStyle name="Normal 7" xfId="12"/>
    <cellStyle name="Normal 7 2" xfId="18"/>
    <cellStyle name="Normal 8" xfId="36"/>
    <cellStyle name="Normal_Uncertainty Budget" xfId="19"/>
    <cellStyle name="Note 2" xfId="37"/>
    <cellStyle name="Note 2 2" xfId="38"/>
    <cellStyle name="Note 2 3" xfId="39"/>
    <cellStyle name="Note 3" xfId="40"/>
    <cellStyle name="Note 4" xfId="41"/>
    <cellStyle name="Note 5" xfId="42"/>
    <cellStyle name="Note 6" xfId="43"/>
    <cellStyle name="Note 7" xfId="44"/>
    <cellStyle name="Percent [2]" xfId="45"/>
    <cellStyle name="เครื่องหมายจุลภาค [0]_01) FEZ-0011-G-Form-02   DCV (Direct-Range, 0~1020V)" xfId="46"/>
    <cellStyle name="เครื่องหมายจุลภาค_01) FEZ-0011-G-Form-02   DCV (Direct-Range, 0~1020V)" xfId="47"/>
    <cellStyle name="เครื่องหมายสกุลเงิน [0]_01) FEZ-0011-G-Form-02   DCV (Direct-Range, 0~1020V)" xfId="48"/>
    <cellStyle name="เครื่องหมายสกุลเงิน_01) FEZ-0011-G-Form-02   DCV (Direct-Range, 0~1020V)" xfId="49"/>
    <cellStyle name="ปกติ 2" xfId="15"/>
    <cellStyle name="ปกติ 2 2" xfId="3"/>
    <cellStyle name="ปกติ 3" xfId="16"/>
    <cellStyle name="ปกติ_2793-01                  Std. Form (Used  HP  3458A)" xfId="50"/>
    <cellStyle name="ปกติ_Cert.(ตัวอย่าง DMM)" xfId="5"/>
    <cellStyle name="桁区切り [0.00]_05-2000" xfId="51"/>
    <cellStyle name="桁区切り_05-2000" xfId="52"/>
    <cellStyle name="標準_05-2000" xfId="53"/>
    <cellStyle name="通貨 [0.00]_05-2000" xfId="54"/>
    <cellStyle name="通貨_05-2000" xfId="55"/>
  </cellStyles>
  <dxfs count="0"/>
  <tableStyles count="0" defaultTableStyle="TableStyleMedium9" defaultPivotStyle="PivotStyleLight16"/>
  <colors>
    <mruColors>
      <color rgb="FF00FF00"/>
      <color rgb="FFAEF2D3"/>
      <color rgb="FF66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38</xdr:col>
      <xdr:colOff>0</xdr:colOff>
      <xdr:row>32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25</xdr:col>
          <xdr:colOff>0</xdr:colOff>
          <xdr:row>4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85725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85725</xdr:rowOff>
        </xdr:from>
        <xdr:to>
          <xdr:col>8</xdr:col>
          <xdr:colOff>0</xdr:colOff>
          <xdr:row>9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85725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1270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P42"/>
  <sheetViews>
    <sheetView tabSelected="1" view="pageBreakPreview" topLeftCell="A10" zoomScaleNormal="100" zoomScaleSheetLayoutView="100" workbookViewId="0">
      <selection activeCell="Y26" sqref="Y26:Z31"/>
    </sheetView>
  </sheetViews>
  <sheetFormatPr defaultColWidth="7.5703125" defaultRowHeight="18.75" customHeight="1"/>
  <cols>
    <col min="1" max="1" width="1.5703125" style="12" customWidth="1"/>
    <col min="2" max="26" width="3.140625" style="12" customWidth="1"/>
    <col min="27" max="31" width="2.5703125" style="12" customWidth="1"/>
    <col min="32" max="34" width="2.85546875" style="12" customWidth="1"/>
    <col min="35" max="35" width="3.5703125" style="12" customWidth="1"/>
    <col min="36" max="36" width="6.42578125" style="12" customWidth="1"/>
    <col min="37" max="37" width="5.140625" style="12" customWidth="1"/>
    <col min="38" max="38" width="9.28515625" style="12" customWidth="1"/>
    <col min="39" max="39" width="9.5703125" style="12" customWidth="1"/>
    <col min="40" max="197" width="7.5703125" style="12"/>
    <col min="198" max="198" width="1.5703125" style="12" customWidth="1"/>
    <col min="199" max="202" width="3.5703125" style="12" customWidth="1"/>
    <col min="203" max="206" width="5.42578125" style="12" customWidth="1"/>
    <col min="207" max="222" width="4" style="12" customWidth="1"/>
    <col min="223" max="224" width="3.42578125" style="12" customWidth="1"/>
    <col min="225" max="262" width="3.5703125" style="12" customWidth="1"/>
    <col min="263" max="453" width="7.5703125" style="12"/>
    <col min="454" max="454" width="1.5703125" style="12" customWidth="1"/>
    <col min="455" max="458" width="3.5703125" style="12" customWidth="1"/>
    <col min="459" max="462" width="5.42578125" style="12" customWidth="1"/>
    <col min="463" max="478" width="4" style="12" customWidth="1"/>
    <col min="479" max="480" width="3.42578125" style="12" customWidth="1"/>
    <col min="481" max="518" width="3.5703125" style="12" customWidth="1"/>
    <col min="519" max="709" width="7.5703125" style="12"/>
    <col min="710" max="710" width="1.5703125" style="12" customWidth="1"/>
    <col min="711" max="714" width="3.5703125" style="12" customWidth="1"/>
    <col min="715" max="718" width="5.42578125" style="12" customWidth="1"/>
    <col min="719" max="734" width="4" style="12" customWidth="1"/>
    <col min="735" max="736" width="3.42578125" style="12" customWidth="1"/>
    <col min="737" max="774" width="3.5703125" style="12" customWidth="1"/>
    <col min="775" max="965" width="7.5703125" style="12"/>
    <col min="966" max="966" width="1.5703125" style="12" customWidth="1"/>
    <col min="967" max="970" width="3.5703125" style="12" customWidth="1"/>
    <col min="971" max="974" width="5.42578125" style="12" customWidth="1"/>
    <col min="975" max="990" width="4" style="12" customWidth="1"/>
    <col min="991" max="992" width="3.42578125" style="12" customWidth="1"/>
    <col min="993" max="1030" width="3.5703125" style="12" customWidth="1"/>
    <col min="1031" max="1221" width="7.5703125" style="12"/>
    <col min="1222" max="1222" width="1.5703125" style="12" customWidth="1"/>
    <col min="1223" max="1226" width="3.5703125" style="12" customWidth="1"/>
    <col min="1227" max="1230" width="5.42578125" style="12" customWidth="1"/>
    <col min="1231" max="1246" width="4" style="12" customWidth="1"/>
    <col min="1247" max="1248" width="3.42578125" style="12" customWidth="1"/>
    <col min="1249" max="1286" width="3.5703125" style="12" customWidth="1"/>
    <col min="1287" max="1477" width="7.5703125" style="12"/>
    <col min="1478" max="1478" width="1.5703125" style="12" customWidth="1"/>
    <col min="1479" max="1482" width="3.5703125" style="12" customWidth="1"/>
    <col min="1483" max="1486" width="5.42578125" style="12" customWidth="1"/>
    <col min="1487" max="1502" width="4" style="12" customWidth="1"/>
    <col min="1503" max="1504" width="3.42578125" style="12" customWidth="1"/>
    <col min="1505" max="1542" width="3.5703125" style="12" customWidth="1"/>
    <col min="1543" max="1733" width="7.5703125" style="12"/>
    <col min="1734" max="1734" width="1.5703125" style="12" customWidth="1"/>
    <col min="1735" max="1738" width="3.5703125" style="12" customWidth="1"/>
    <col min="1739" max="1742" width="5.42578125" style="12" customWidth="1"/>
    <col min="1743" max="1758" width="4" style="12" customWidth="1"/>
    <col min="1759" max="1760" width="3.42578125" style="12" customWidth="1"/>
    <col min="1761" max="1798" width="3.5703125" style="12" customWidth="1"/>
    <col min="1799" max="1989" width="7.5703125" style="12"/>
    <col min="1990" max="1990" width="1.5703125" style="12" customWidth="1"/>
    <col min="1991" max="1994" width="3.5703125" style="12" customWidth="1"/>
    <col min="1995" max="1998" width="5.42578125" style="12" customWidth="1"/>
    <col min="1999" max="2014" width="4" style="12" customWidth="1"/>
    <col min="2015" max="2016" width="3.42578125" style="12" customWidth="1"/>
    <col min="2017" max="2054" width="3.5703125" style="12" customWidth="1"/>
    <col min="2055" max="2245" width="7.5703125" style="12"/>
    <col min="2246" max="2246" width="1.5703125" style="12" customWidth="1"/>
    <col min="2247" max="2250" width="3.5703125" style="12" customWidth="1"/>
    <col min="2251" max="2254" width="5.42578125" style="12" customWidth="1"/>
    <col min="2255" max="2270" width="4" style="12" customWidth="1"/>
    <col min="2271" max="2272" width="3.42578125" style="12" customWidth="1"/>
    <col min="2273" max="2310" width="3.5703125" style="12" customWidth="1"/>
    <col min="2311" max="2501" width="7.5703125" style="12"/>
    <col min="2502" max="2502" width="1.5703125" style="12" customWidth="1"/>
    <col min="2503" max="2506" width="3.5703125" style="12" customWidth="1"/>
    <col min="2507" max="2510" width="5.42578125" style="12" customWidth="1"/>
    <col min="2511" max="2526" width="4" style="12" customWidth="1"/>
    <col min="2527" max="2528" width="3.42578125" style="12" customWidth="1"/>
    <col min="2529" max="2566" width="3.5703125" style="12" customWidth="1"/>
    <col min="2567" max="2757" width="7.5703125" style="12"/>
    <col min="2758" max="2758" width="1.5703125" style="12" customWidth="1"/>
    <col min="2759" max="2762" width="3.5703125" style="12" customWidth="1"/>
    <col min="2763" max="2766" width="5.42578125" style="12" customWidth="1"/>
    <col min="2767" max="2782" width="4" style="12" customWidth="1"/>
    <col min="2783" max="2784" width="3.42578125" style="12" customWidth="1"/>
    <col min="2785" max="2822" width="3.5703125" style="12" customWidth="1"/>
    <col min="2823" max="3013" width="7.5703125" style="12"/>
    <col min="3014" max="3014" width="1.5703125" style="12" customWidth="1"/>
    <col min="3015" max="3018" width="3.5703125" style="12" customWidth="1"/>
    <col min="3019" max="3022" width="5.42578125" style="12" customWidth="1"/>
    <col min="3023" max="3038" width="4" style="12" customWidth="1"/>
    <col min="3039" max="3040" width="3.42578125" style="12" customWidth="1"/>
    <col min="3041" max="3078" width="3.5703125" style="12" customWidth="1"/>
    <col min="3079" max="3269" width="7.5703125" style="12"/>
    <col min="3270" max="3270" width="1.5703125" style="12" customWidth="1"/>
    <col min="3271" max="3274" width="3.5703125" style="12" customWidth="1"/>
    <col min="3275" max="3278" width="5.42578125" style="12" customWidth="1"/>
    <col min="3279" max="3294" width="4" style="12" customWidth="1"/>
    <col min="3295" max="3296" width="3.42578125" style="12" customWidth="1"/>
    <col min="3297" max="3334" width="3.5703125" style="12" customWidth="1"/>
    <col min="3335" max="3525" width="7.5703125" style="12"/>
    <col min="3526" max="3526" width="1.5703125" style="12" customWidth="1"/>
    <col min="3527" max="3530" width="3.5703125" style="12" customWidth="1"/>
    <col min="3531" max="3534" width="5.42578125" style="12" customWidth="1"/>
    <col min="3535" max="3550" width="4" style="12" customWidth="1"/>
    <col min="3551" max="3552" width="3.42578125" style="12" customWidth="1"/>
    <col min="3553" max="3590" width="3.5703125" style="12" customWidth="1"/>
    <col min="3591" max="3781" width="7.5703125" style="12"/>
    <col min="3782" max="3782" width="1.5703125" style="12" customWidth="1"/>
    <col min="3783" max="3786" width="3.5703125" style="12" customWidth="1"/>
    <col min="3787" max="3790" width="5.42578125" style="12" customWidth="1"/>
    <col min="3791" max="3806" width="4" style="12" customWidth="1"/>
    <col min="3807" max="3808" width="3.42578125" style="12" customWidth="1"/>
    <col min="3809" max="3846" width="3.5703125" style="12" customWidth="1"/>
    <col min="3847" max="4037" width="7.5703125" style="12"/>
    <col min="4038" max="4038" width="1.5703125" style="12" customWidth="1"/>
    <col min="4039" max="4042" width="3.5703125" style="12" customWidth="1"/>
    <col min="4043" max="4046" width="5.42578125" style="12" customWidth="1"/>
    <col min="4047" max="4062" width="4" style="12" customWidth="1"/>
    <col min="4063" max="4064" width="3.42578125" style="12" customWidth="1"/>
    <col min="4065" max="4102" width="3.5703125" style="12" customWidth="1"/>
    <col min="4103" max="4293" width="7.5703125" style="12"/>
    <col min="4294" max="4294" width="1.5703125" style="12" customWidth="1"/>
    <col min="4295" max="4298" width="3.5703125" style="12" customWidth="1"/>
    <col min="4299" max="4302" width="5.42578125" style="12" customWidth="1"/>
    <col min="4303" max="4318" width="4" style="12" customWidth="1"/>
    <col min="4319" max="4320" width="3.42578125" style="12" customWidth="1"/>
    <col min="4321" max="4358" width="3.5703125" style="12" customWidth="1"/>
    <col min="4359" max="4549" width="7.5703125" style="12"/>
    <col min="4550" max="4550" width="1.5703125" style="12" customWidth="1"/>
    <col min="4551" max="4554" width="3.5703125" style="12" customWidth="1"/>
    <col min="4555" max="4558" width="5.42578125" style="12" customWidth="1"/>
    <col min="4559" max="4574" width="4" style="12" customWidth="1"/>
    <col min="4575" max="4576" width="3.42578125" style="12" customWidth="1"/>
    <col min="4577" max="4614" width="3.5703125" style="12" customWidth="1"/>
    <col min="4615" max="4805" width="7.5703125" style="12"/>
    <col min="4806" max="4806" width="1.5703125" style="12" customWidth="1"/>
    <col min="4807" max="4810" width="3.5703125" style="12" customWidth="1"/>
    <col min="4811" max="4814" width="5.42578125" style="12" customWidth="1"/>
    <col min="4815" max="4830" width="4" style="12" customWidth="1"/>
    <col min="4831" max="4832" width="3.42578125" style="12" customWidth="1"/>
    <col min="4833" max="4870" width="3.5703125" style="12" customWidth="1"/>
    <col min="4871" max="5061" width="7.5703125" style="12"/>
    <col min="5062" max="5062" width="1.5703125" style="12" customWidth="1"/>
    <col min="5063" max="5066" width="3.5703125" style="12" customWidth="1"/>
    <col min="5067" max="5070" width="5.42578125" style="12" customWidth="1"/>
    <col min="5071" max="5086" width="4" style="12" customWidth="1"/>
    <col min="5087" max="5088" width="3.42578125" style="12" customWidth="1"/>
    <col min="5089" max="5126" width="3.5703125" style="12" customWidth="1"/>
    <col min="5127" max="5317" width="7.5703125" style="12"/>
    <col min="5318" max="5318" width="1.5703125" style="12" customWidth="1"/>
    <col min="5319" max="5322" width="3.5703125" style="12" customWidth="1"/>
    <col min="5323" max="5326" width="5.42578125" style="12" customWidth="1"/>
    <col min="5327" max="5342" width="4" style="12" customWidth="1"/>
    <col min="5343" max="5344" width="3.42578125" style="12" customWidth="1"/>
    <col min="5345" max="5382" width="3.5703125" style="12" customWidth="1"/>
    <col min="5383" max="5573" width="7.5703125" style="12"/>
    <col min="5574" max="5574" width="1.5703125" style="12" customWidth="1"/>
    <col min="5575" max="5578" width="3.5703125" style="12" customWidth="1"/>
    <col min="5579" max="5582" width="5.42578125" style="12" customWidth="1"/>
    <col min="5583" max="5598" width="4" style="12" customWidth="1"/>
    <col min="5599" max="5600" width="3.42578125" style="12" customWidth="1"/>
    <col min="5601" max="5638" width="3.5703125" style="12" customWidth="1"/>
    <col min="5639" max="5829" width="7.5703125" style="12"/>
    <col min="5830" max="5830" width="1.5703125" style="12" customWidth="1"/>
    <col min="5831" max="5834" width="3.5703125" style="12" customWidth="1"/>
    <col min="5835" max="5838" width="5.42578125" style="12" customWidth="1"/>
    <col min="5839" max="5854" width="4" style="12" customWidth="1"/>
    <col min="5855" max="5856" width="3.42578125" style="12" customWidth="1"/>
    <col min="5857" max="5894" width="3.5703125" style="12" customWidth="1"/>
    <col min="5895" max="6085" width="7.5703125" style="12"/>
    <col min="6086" max="6086" width="1.5703125" style="12" customWidth="1"/>
    <col min="6087" max="6090" width="3.5703125" style="12" customWidth="1"/>
    <col min="6091" max="6094" width="5.42578125" style="12" customWidth="1"/>
    <col min="6095" max="6110" width="4" style="12" customWidth="1"/>
    <col min="6111" max="6112" width="3.42578125" style="12" customWidth="1"/>
    <col min="6113" max="6150" width="3.5703125" style="12" customWidth="1"/>
    <col min="6151" max="6341" width="7.5703125" style="12"/>
    <col min="6342" max="6342" width="1.5703125" style="12" customWidth="1"/>
    <col min="6343" max="6346" width="3.5703125" style="12" customWidth="1"/>
    <col min="6347" max="6350" width="5.42578125" style="12" customWidth="1"/>
    <col min="6351" max="6366" width="4" style="12" customWidth="1"/>
    <col min="6367" max="6368" width="3.42578125" style="12" customWidth="1"/>
    <col min="6369" max="6406" width="3.5703125" style="12" customWidth="1"/>
    <col min="6407" max="6597" width="7.5703125" style="12"/>
    <col min="6598" max="6598" width="1.5703125" style="12" customWidth="1"/>
    <col min="6599" max="6602" width="3.5703125" style="12" customWidth="1"/>
    <col min="6603" max="6606" width="5.42578125" style="12" customWidth="1"/>
    <col min="6607" max="6622" width="4" style="12" customWidth="1"/>
    <col min="6623" max="6624" width="3.42578125" style="12" customWidth="1"/>
    <col min="6625" max="6662" width="3.5703125" style="12" customWidth="1"/>
    <col min="6663" max="6853" width="7.5703125" style="12"/>
    <col min="6854" max="6854" width="1.5703125" style="12" customWidth="1"/>
    <col min="6855" max="6858" width="3.5703125" style="12" customWidth="1"/>
    <col min="6859" max="6862" width="5.42578125" style="12" customWidth="1"/>
    <col min="6863" max="6878" width="4" style="12" customWidth="1"/>
    <col min="6879" max="6880" width="3.42578125" style="12" customWidth="1"/>
    <col min="6881" max="6918" width="3.5703125" style="12" customWidth="1"/>
    <col min="6919" max="7109" width="7.5703125" style="12"/>
    <col min="7110" max="7110" width="1.5703125" style="12" customWidth="1"/>
    <col min="7111" max="7114" width="3.5703125" style="12" customWidth="1"/>
    <col min="7115" max="7118" width="5.42578125" style="12" customWidth="1"/>
    <col min="7119" max="7134" width="4" style="12" customWidth="1"/>
    <col min="7135" max="7136" width="3.42578125" style="12" customWidth="1"/>
    <col min="7137" max="7174" width="3.5703125" style="12" customWidth="1"/>
    <col min="7175" max="7365" width="7.5703125" style="12"/>
    <col min="7366" max="7366" width="1.5703125" style="12" customWidth="1"/>
    <col min="7367" max="7370" width="3.5703125" style="12" customWidth="1"/>
    <col min="7371" max="7374" width="5.42578125" style="12" customWidth="1"/>
    <col min="7375" max="7390" width="4" style="12" customWidth="1"/>
    <col min="7391" max="7392" width="3.42578125" style="12" customWidth="1"/>
    <col min="7393" max="7430" width="3.5703125" style="12" customWidth="1"/>
    <col min="7431" max="7621" width="7.5703125" style="12"/>
    <col min="7622" max="7622" width="1.5703125" style="12" customWidth="1"/>
    <col min="7623" max="7626" width="3.5703125" style="12" customWidth="1"/>
    <col min="7627" max="7630" width="5.42578125" style="12" customWidth="1"/>
    <col min="7631" max="7646" width="4" style="12" customWidth="1"/>
    <col min="7647" max="7648" width="3.42578125" style="12" customWidth="1"/>
    <col min="7649" max="7686" width="3.5703125" style="12" customWidth="1"/>
    <col min="7687" max="7877" width="7.5703125" style="12"/>
    <col min="7878" max="7878" width="1.5703125" style="12" customWidth="1"/>
    <col min="7879" max="7882" width="3.5703125" style="12" customWidth="1"/>
    <col min="7883" max="7886" width="5.42578125" style="12" customWidth="1"/>
    <col min="7887" max="7902" width="4" style="12" customWidth="1"/>
    <col min="7903" max="7904" width="3.42578125" style="12" customWidth="1"/>
    <col min="7905" max="7942" width="3.5703125" style="12" customWidth="1"/>
    <col min="7943" max="8133" width="7.5703125" style="12"/>
    <col min="8134" max="8134" width="1.5703125" style="12" customWidth="1"/>
    <col min="8135" max="8138" width="3.5703125" style="12" customWidth="1"/>
    <col min="8139" max="8142" width="5.42578125" style="12" customWidth="1"/>
    <col min="8143" max="8158" width="4" style="12" customWidth="1"/>
    <col min="8159" max="8160" width="3.42578125" style="12" customWidth="1"/>
    <col min="8161" max="8198" width="3.5703125" style="12" customWidth="1"/>
    <col min="8199" max="8389" width="7.5703125" style="12"/>
    <col min="8390" max="8390" width="1.5703125" style="12" customWidth="1"/>
    <col min="8391" max="8394" width="3.5703125" style="12" customWidth="1"/>
    <col min="8395" max="8398" width="5.42578125" style="12" customWidth="1"/>
    <col min="8399" max="8414" width="4" style="12" customWidth="1"/>
    <col min="8415" max="8416" width="3.42578125" style="12" customWidth="1"/>
    <col min="8417" max="8454" width="3.5703125" style="12" customWidth="1"/>
    <col min="8455" max="8645" width="7.5703125" style="12"/>
    <col min="8646" max="8646" width="1.5703125" style="12" customWidth="1"/>
    <col min="8647" max="8650" width="3.5703125" style="12" customWidth="1"/>
    <col min="8651" max="8654" width="5.42578125" style="12" customWidth="1"/>
    <col min="8655" max="8670" width="4" style="12" customWidth="1"/>
    <col min="8671" max="8672" width="3.42578125" style="12" customWidth="1"/>
    <col min="8673" max="8710" width="3.5703125" style="12" customWidth="1"/>
    <col min="8711" max="8901" width="7.5703125" style="12"/>
    <col min="8902" max="8902" width="1.5703125" style="12" customWidth="1"/>
    <col min="8903" max="8906" width="3.5703125" style="12" customWidth="1"/>
    <col min="8907" max="8910" width="5.42578125" style="12" customWidth="1"/>
    <col min="8911" max="8926" width="4" style="12" customWidth="1"/>
    <col min="8927" max="8928" width="3.42578125" style="12" customWidth="1"/>
    <col min="8929" max="8966" width="3.5703125" style="12" customWidth="1"/>
    <col min="8967" max="9157" width="7.5703125" style="12"/>
    <col min="9158" max="9158" width="1.5703125" style="12" customWidth="1"/>
    <col min="9159" max="9162" width="3.5703125" style="12" customWidth="1"/>
    <col min="9163" max="9166" width="5.42578125" style="12" customWidth="1"/>
    <col min="9167" max="9182" width="4" style="12" customWidth="1"/>
    <col min="9183" max="9184" width="3.42578125" style="12" customWidth="1"/>
    <col min="9185" max="9222" width="3.5703125" style="12" customWidth="1"/>
    <col min="9223" max="9413" width="7.5703125" style="12"/>
    <col min="9414" max="9414" width="1.5703125" style="12" customWidth="1"/>
    <col min="9415" max="9418" width="3.5703125" style="12" customWidth="1"/>
    <col min="9419" max="9422" width="5.42578125" style="12" customWidth="1"/>
    <col min="9423" max="9438" width="4" style="12" customWidth="1"/>
    <col min="9439" max="9440" width="3.42578125" style="12" customWidth="1"/>
    <col min="9441" max="9478" width="3.5703125" style="12" customWidth="1"/>
    <col min="9479" max="9669" width="7.5703125" style="12"/>
    <col min="9670" max="9670" width="1.5703125" style="12" customWidth="1"/>
    <col min="9671" max="9674" width="3.5703125" style="12" customWidth="1"/>
    <col min="9675" max="9678" width="5.42578125" style="12" customWidth="1"/>
    <col min="9679" max="9694" width="4" style="12" customWidth="1"/>
    <col min="9695" max="9696" width="3.42578125" style="12" customWidth="1"/>
    <col min="9697" max="9734" width="3.5703125" style="12" customWidth="1"/>
    <col min="9735" max="9925" width="7.5703125" style="12"/>
    <col min="9926" max="9926" width="1.5703125" style="12" customWidth="1"/>
    <col min="9927" max="9930" width="3.5703125" style="12" customWidth="1"/>
    <col min="9931" max="9934" width="5.42578125" style="12" customWidth="1"/>
    <col min="9935" max="9950" width="4" style="12" customWidth="1"/>
    <col min="9951" max="9952" width="3.42578125" style="12" customWidth="1"/>
    <col min="9953" max="9990" width="3.5703125" style="12" customWidth="1"/>
    <col min="9991" max="10181" width="7.5703125" style="12"/>
    <col min="10182" max="10182" width="1.5703125" style="12" customWidth="1"/>
    <col min="10183" max="10186" width="3.5703125" style="12" customWidth="1"/>
    <col min="10187" max="10190" width="5.42578125" style="12" customWidth="1"/>
    <col min="10191" max="10206" width="4" style="12" customWidth="1"/>
    <col min="10207" max="10208" width="3.42578125" style="12" customWidth="1"/>
    <col min="10209" max="10246" width="3.5703125" style="12" customWidth="1"/>
    <col min="10247" max="10437" width="7.5703125" style="12"/>
    <col min="10438" max="10438" width="1.5703125" style="12" customWidth="1"/>
    <col min="10439" max="10442" width="3.5703125" style="12" customWidth="1"/>
    <col min="10443" max="10446" width="5.42578125" style="12" customWidth="1"/>
    <col min="10447" max="10462" width="4" style="12" customWidth="1"/>
    <col min="10463" max="10464" width="3.42578125" style="12" customWidth="1"/>
    <col min="10465" max="10502" width="3.5703125" style="12" customWidth="1"/>
    <col min="10503" max="10693" width="7.5703125" style="12"/>
    <col min="10694" max="10694" width="1.5703125" style="12" customWidth="1"/>
    <col min="10695" max="10698" width="3.5703125" style="12" customWidth="1"/>
    <col min="10699" max="10702" width="5.42578125" style="12" customWidth="1"/>
    <col min="10703" max="10718" width="4" style="12" customWidth="1"/>
    <col min="10719" max="10720" width="3.42578125" style="12" customWidth="1"/>
    <col min="10721" max="10758" width="3.5703125" style="12" customWidth="1"/>
    <col min="10759" max="10949" width="7.5703125" style="12"/>
    <col min="10950" max="10950" width="1.5703125" style="12" customWidth="1"/>
    <col min="10951" max="10954" width="3.5703125" style="12" customWidth="1"/>
    <col min="10955" max="10958" width="5.42578125" style="12" customWidth="1"/>
    <col min="10959" max="10974" width="4" style="12" customWidth="1"/>
    <col min="10975" max="10976" width="3.42578125" style="12" customWidth="1"/>
    <col min="10977" max="11014" width="3.5703125" style="12" customWidth="1"/>
    <col min="11015" max="11205" width="7.5703125" style="12"/>
    <col min="11206" max="11206" width="1.5703125" style="12" customWidth="1"/>
    <col min="11207" max="11210" width="3.5703125" style="12" customWidth="1"/>
    <col min="11211" max="11214" width="5.42578125" style="12" customWidth="1"/>
    <col min="11215" max="11230" width="4" style="12" customWidth="1"/>
    <col min="11231" max="11232" width="3.42578125" style="12" customWidth="1"/>
    <col min="11233" max="11270" width="3.5703125" style="12" customWidth="1"/>
    <col min="11271" max="11461" width="7.5703125" style="12"/>
    <col min="11462" max="11462" width="1.5703125" style="12" customWidth="1"/>
    <col min="11463" max="11466" width="3.5703125" style="12" customWidth="1"/>
    <col min="11467" max="11470" width="5.42578125" style="12" customWidth="1"/>
    <col min="11471" max="11486" width="4" style="12" customWidth="1"/>
    <col min="11487" max="11488" width="3.42578125" style="12" customWidth="1"/>
    <col min="11489" max="11526" width="3.5703125" style="12" customWidth="1"/>
    <col min="11527" max="11717" width="7.5703125" style="12"/>
    <col min="11718" max="11718" width="1.5703125" style="12" customWidth="1"/>
    <col min="11719" max="11722" width="3.5703125" style="12" customWidth="1"/>
    <col min="11723" max="11726" width="5.42578125" style="12" customWidth="1"/>
    <col min="11727" max="11742" width="4" style="12" customWidth="1"/>
    <col min="11743" max="11744" width="3.42578125" style="12" customWidth="1"/>
    <col min="11745" max="11782" width="3.5703125" style="12" customWidth="1"/>
    <col min="11783" max="11973" width="7.5703125" style="12"/>
    <col min="11974" max="11974" width="1.5703125" style="12" customWidth="1"/>
    <col min="11975" max="11978" width="3.5703125" style="12" customWidth="1"/>
    <col min="11979" max="11982" width="5.42578125" style="12" customWidth="1"/>
    <col min="11983" max="11998" width="4" style="12" customWidth="1"/>
    <col min="11999" max="12000" width="3.42578125" style="12" customWidth="1"/>
    <col min="12001" max="12038" width="3.5703125" style="12" customWidth="1"/>
    <col min="12039" max="12229" width="7.5703125" style="12"/>
    <col min="12230" max="12230" width="1.5703125" style="12" customWidth="1"/>
    <col min="12231" max="12234" width="3.5703125" style="12" customWidth="1"/>
    <col min="12235" max="12238" width="5.42578125" style="12" customWidth="1"/>
    <col min="12239" max="12254" width="4" style="12" customWidth="1"/>
    <col min="12255" max="12256" width="3.42578125" style="12" customWidth="1"/>
    <col min="12257" max="12294" width="3.5703125" style="12" customWidth="1"/>
    <col min="12295" max="12485" width="7.5703125" style="12"/>
    <col min="12486" max="12486" width="1.5703125" style="12" customWidth="1"/>
    <col min="12487" max="12490" width="3.5703125" style="12" customWidth="1"/>
    <col min="12491" max="12494" width="5.42578125" style="12" customWidth="1"/>
    <col min="12495" max="12510" width="4" style="12" customWidth="1"/>
    <col min="12511" max="12512" width="3.42578125" style="12" customWidth="1"/>
    <col min="12513" max="12550" width="3.5703125" style="12" customWidth="1"/>
    <col min="12551" max="12741" width="7.5703125" style="12"/>
    <col min="12742" max="12742" width="1.5703125" style="12" customWidth="1"/>
    <col min="12743" max="12746" width="3.5703125" style="12" customWidth="1"/>
    <col min="12747" max="12750" width="5.42578125" style="12" customWidth="1"/>
    <col min="12751" max="12766" width="4" style="12" customWidth="1"/>
    <col min="12767" max="12768" width="3.42578125" style="12" customWidth="1"/>
    <col min="12769" max="12806" width="3.5703125" style="12" customWidth="1"/>
    <col min="12807" max="12997" width="7.5703125" style="12"/>
    <col min="12998" max="12998" width="1.5703125" style="12" customWidth="1"/>
    <col min="12999" max="13002" width="3.5703125" style="12" customWidth="1"/>
    <col min="13003" max="13006" width="5.42578125" style="12" customWidth="1"/>
    <col min="13007" max="13022" width="4" style="12" customWidth="1"/>
    <col min="13023" max="13024" width="3.42578125" style="12" customWidth="1"/>
    <col min="13025" max="13062" width="3.5703125" style="12" customWidth="1"/>
    <col min="13063" max="13253" width="7.5703125" style="12"/>
    <col min="13254" max="13254" width="1.5703125" style="12" customWidth="1"/>
    <col min="13255" max="13258" width="3.5703125" style="12" customWidth="1"/>
    <col min="13259" max="13262" width="5.42578125" style="12" customWidth="1"/>
    <col min="13263" max="13278" width="4" style="12" customWidth="1"/>
    <col min="13279" max="13280" width="3.42578125" style="12" customWidth="1"/>
    <col min="13281" max="13318" width="3.5703125" style="12" customWidth="1"/>
    <col min="13319" max="13509" width="7.5703125" style="12"/>
    <col min="13510" max="13510" width="1.5703125" style="12" customWidth="1"/>
    <col min="13511" max="13514" width="3.5703125" style="12" customWidth="1"/>
    <col min="13515" max="13518" width="5.42578125" style="12" customWidth="1"/>
    <col min="13519" max="13534" width="4" style="12" customWidth="1"/>
    <col min="13535" max="13536" width="3.42578125" style="12" customWidth="1"/>
    <col min="13537" max="13574" width="3.5703125" style="12" customWidth="1"/>
    <col min="13575" max="13765" width="7.5703125" style="12"/>
    <col min="13766" max="13766" width="1.5703125" style="12" customWidth="1"/>
    <col min="13767" max="13770" width="3.5703125" style="12" customWidth="1"/>
    <col min="13771" max="13774" width="5.42578125" style="12" customWidth="1"/>
    <col min="13775" max="13790" width="4" style="12" customWidth="1"/>
    <col min="13791" max="13792" width="3.42578125" style="12" customWidth="1"/>
    <col min="13793" max="13830" width="3.5703125" style="12" customWidth="1"/>
    <col min="13831" max="14021" width="7.5703125" style="12"/>
    <col min="14022" max="14022" width="1.5703125" style="12" customWidth="1"/>
    <col min="14023" max="14026" width="3.5703125" style="12" customWidth="1"/>
    <col min="14027" max="14030" width="5.42578125" style="12" customWidth="1"/>
    <col min="14031" max="14046" width="4" style="12" customWidth="1"/>
    <col min="14047" max="14048" width="3.42578125" style="12" customWidth="1"/>
    <col min="14049" max="14086" width="3.5703125" style="12" customWidth="1"/>
    <col min="14087" max="14277" width="7.5703125" style="12"/>
    <col min="14278" max="14278" width="1.5703125" style="12" customWidth="1"/>
    <col min="14279" max="14282" width="3.5703125" style="12" customWidth="1"/>
    <col min="14283" max="14286" width="5.42578125" style="12" customWidth="1"/>
    <col min="14287" max="14302" width="4" style="12" customWidth="1"/>
    <col min="14303" max="14304" width="3.42578125" style="12" customWidth="1"/>
    <col min="14305" max="14342" width="3.5703125" style="12" customWidth="1"/>
    <col min="14343" max="14533" width="7.5703125" style="12"/>
    <col min="14534" max="14534" width="1.5703125" style="12" customWidth="1"/>
    <col min="14535" max="14538" width="3.5703125" style="12" customWidth="1"/>
    <col min="14539" max="14542" width="5.42578125" style="12" customWidth="1"/>
    <col min="14543" max="14558" width="4" style="12" customWidth="1"/>
    <col min="14559" max="14560" width="3.42578125" style="12" customWidth="1"/>
    <col min="14561" max="14598" width="3.5703125" style="12" customWidth="1"/>
    <col min="14599" max="14789" width="7.5703125" style="12"/>
    <col min="14790" max="14790" width="1.5703125" style="12" customWidth="1"/>
    <col min="14791" max="14794" width="3.5703125" style="12" customWidth="1"/>
    <col min="14795" max="14798" width="5.42578125" style="12" customWidth="1"/>
    <col min="14799" max="14814" width="4" style="12" customWidth="1"/>
    <col min="14815" max="14816" width="3.42578125" style="12" customWidth="1"/>
    <col min="14817" max="14854" width="3.5703125" style="12" customWidth="1"/>
    <col min="14855" max="15045" width="7.5703125" style="12"/>
    <col min="15046" max="15046" width="1.5703125" style="12" customWidth="1"/>
    <col min="15047" max="15050" width="3.5703125" style="12" customWidth="1"/>
    <col min="15051" max="15054" width="5.42578125" style="12" customWidth="1"/>
    <col min="15055" max="15070" width="4" style="12" customWidth="1"/>
    <col min="15071" max="15072" width="3.42578125" style="12" customWidth="1"/>
    <col min="15073" max="15110" width="3.5703125" style="12" customWidth="1"/>
    <col min="15111" max="15301" width="7.5703125" style="12"/>
    <col min="15302" max="15302" width="1.5703125" style="12" customWidth="1"/>
    <col min="15303" max="15306" width="3.5703125" style="12" customWidth="1"/>
    <col min="15307" max="15310" width="5.42578125" style="12" customWidth="1"/>
    <col min="15311" max="15326" width="4" style="12" customWidth="1"/>
    <col min="15327" max="15328" width="3.42578125" style="12" customWidth="1"/>
    <col min="15329" max="15366" width="3.5703125" style="12" customWidth="1"/>
    <col min="15367" max="15557" width="7.5703125" style="12"/>
    <col min="15558" max="15558" width="1.5703125" style="12" customWidth="1"/>
    <col min="15559" max="15562" width="3.5703125" style="12" customWidth="1"/>
    <col min="15563" max="15566" width="5.42578125" style="12" customWidth="1"/>
    <col min="15567" max="15582" width="4" style="12" customWidth="1"/>
    <col min="15583" max="15584" width="3.42578125" style="12" customWidth="1"/>
    <col min="15585" max="15622" width="3.5703125" style="12" customWidth="1"/>
    <col min="15623" max="15813" width="7.5703125" style="12"/>
    <col min="15814" max="15814" width="1.5703125" style="12" customWidth="1"/>
    <col min="15815" max="15818" width="3.5703125" style="12" customWidth="1"/>
    <col min="15819" max="15822" width="5.42578125" style="12" customWidth="1"/>
    <col min="15823" max="15838" width="4" style="12" customWidth="1"/>
    <col min="15839" max="15840" width="3.42578125" style="12" customWidth="1"/>
    <col min="15841" max="15878" width="3.5703125" style="12" customWidth="1"/>
    <col min="15879" max="16069" width="7.5703125" style="12"/>
    <col min="16070" max="16070" width="1.5703125" style="12" customWidth="1"/>
    <col min="16071" max="16074" width="3.5703125" style="12" customWidth="1"/>
    <col min="16075" max="16078" width="5.42578125" style="12" customWidth="1"/>
    <col min="16079" max="16094" width="4" style="12" customWidth="1"/>
    <col min="16095" max="16096" width="3.42578125" style="12" customWidth="1"/>
    <col min="16097" max="16134" width="3.5703125" style="12" customWidth="1"/>
    <col min="16135" max="16384" width="7.5703125" style="12"/>
  </cols>
  <sheetData>
    <row r="1" spans="2:33" ht="21.75">
      <c r="B1" s="392" t="s">
        <v>5</v>
      </c>
      <c r="C1" s="392"/>
      <c r="D1" s="392"/>
      <c r="E1" s="392"/>
      <c r="F1" s="392"/>
      <c r="G1" s="392"/>
      <c r="H1" s="392"/>
      <c r="I1" s="392"/>
      <c r="J1" s="392"/>
      <c r="K1" s="392"/>
      <c r="M1" s="263" t="s">
        <v>4</v>
      </c>
      <c r="N1" s="263"/>
      <c r="O1" s="263"/>
      <c r="P1" s="263"/>
      <c r="Q1" s="393" t="s">
        <v>192</v>
      </c>
      <c r="R1" s="393"/>
      <c r="S1" s="393"/>
      <c r="T1" s="393"/>
      <c r="U1" s="393"/>
      <c r="V1" s="393"/>
      <c r="W1" s="263"/>
      <c r="X1" s="263"/>
      <c r="Y1" s="264"/>
      <c r="Z1" s="263"/>
      <c r="AA1" s="264"/>
      <c r="AB1" s="11"/>
      <c r="AC1" s="264" t="s">
        <v>178</v>
      </c>
      <c r="AD1" s="264"/>
      <c r="AE1" s="264"/>
      <c r="AF1" s="42"/>
    </row>
    <row r="2" spans="2:33" ht="21.75"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3"/>
      <c r="M2" s="264" t="s">
        <v>6</v>
      </c>
      <c r="N2" s="263"/>
      <c r="O2" s="264"/>
      <c r="P2" s="263"/>
      <c r="Q2" s="394">
        <v>42377</v>
      </c>
      <c r="R2" s="394"/>
      <c r="S2" s="394"/>
      <c r="T2" s="394"/>
      <c r="U2" s="394"/>
      <c r="V2" s="264" t="s">
        <v>7</v>
      </c>
      <c r="W2" s="263"/>
      <c r="X2" s="265"/>
      <c r="Y2" s="265"/>
      <c r="Z2" s="265"/>
      <c r="AA2" s="385">
        <v>42382</v>
      </c>
      <c r="AB2" s="385"/>
      <c r="AC2" s="385"/>
      <c r="AD2" s="385"/>
      <c r="AE2" s="385"/>
      <c r="AF2" s="42"/>
    </row>
    <row r="3" spans="2:33" ht="21.75">
      <c r="B3" s="395" t="s">
        <v>170</v>
      </c>
      <c r="C3" s="395"/>
      <c r="D3" s="395"/>
      <c r="E3" s="395"/>
      <c r="F3" s="395"/>
      <c r="G3" s="395"/>
      <c r="H3" s="395"/>
      <c r="I3" s="395"/>
      <c r="J3" s="395"/>
      <c r="K3" s="395"/>
      <c r="M3" s="263" t="s">
        <v>8</v>
      </c>
      <c r="N3" s="263"/>
      <c r="O3" s="263"/>
      <c r="P3" s="263"/>
      <c r="Q3" s="263"/>
      <c r="R3" s="386">
        <v>24.3</v>
      </c>
      <c r="S3" s="386"/>
      <c r="T3" s="266" t="s">
        <v>171</v>
      </c>
      <c r="U3" s="386">
        <v>64.5</v>
      </c>
      <c r="V3" s="386"/>
      <c r="W3" s="267" t="s">
        <v>9</v>
      </c>
      <c r="X3" s="263"/>
      <c r="Y3" s="263"/>
      <c r="Z3" s="263"/>
      <c r="AA3" s="263"/>
      <c r="AB3" s="263"/>
      <c r="AC3" s="263"/>
      <c r="AD3" s="263"/>
      <c r="AE3" s="263"/>
      <c r="AF3" s="33"/>
    </row>
    <row r="4" spans="2:33" ht="21.75">
      <c r="B4" s="396" t="s">
        <v>177</v>
      </c>
      <c r="C4" s="396"/>
      <c r="D4" s="396"/>
      <c r="E4" s="396"/>
      <c r="F4" s="396"/>
      <c r="G4" s="396"/>
      <c r="H4" s="396"/>
      <c r="I4" s="396"/>
      <c r="J4" s="396"/>
      <c r="K4" s="396"/>
      <c r="M4" s="263" t="s">
        <v>172</v>
      </c>
      <c r="N4" s="263"/>
      <c r="O4" s="263"/>
      <c r="P4" s="263"/>
      <c r="Q4" s="263"/>
      <c r="R4" s="263" t="s">
        <v>18</v>
      </c>
      <c r="S4" s="263"/>
      <c r="T4" s="263"/>
      <c r="U4" s="263"/>
      <c r="V4" s="263"/>
      <c r="W4" s="263"/>
      <c r="X4" s="263"/>
      <c r="Y4" s="263"/>
      <c r="Z4" s="263" t="s">
        <v>19</v>
      </c>
      <c r="AA4" s="263"/>
      <c r="AB4" s="263"/>
      <c r="AC4" s="263"/>
      <c r="AD4" s="263"/>
      <c r="AE4" s="263"/>
      <c r="AF4" s="33"/>
    </row>
    <row r="5" spans="2:33" s="41" customFormat="1" ht="23.1" customHeight="1">
      <c r="B5" s="268" t="s">
        <v>10</v>
      </c>
      <c r="C5" s="43"/>
      <c r="D5" s="43"/>
      <c r="E5" s="43"/>
      <c r="F5" s="43"/>
      <c r="G5" s="387" t="s">
        <v>189</v>
      </c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269"/>
    </row>
    <row r="6" spans="2:33" s="41" customFormat="1" ht="23.1" customHeight="1">
      <c r="B6" s="268" t="s">
        <v>173</v>
      </c>
      <c r="C6" s="43"/>
      <c r="D6" s="43"/>
      <c r="E6" s="43"/>
      <c r="F6" s="43"/>
      <c r="G6" s="388" t="s">
        <v>181</v>
      </c>
      <c r="H6" s="388"/>
      <c r="I6" s="388"/>
      <c r="J6" s="388"/>
      <c r="K6" s="388"/>
      <c r="L6" s="388"/>
      <c r="M6" s="388"/>
      <c r="N6" s="388"/>
      <c r="O6" s="388"/>
      <c r="P6" s="388"/>
      <c r="Q6" s="270" t="s">
        <v>11</v>
      </c>
      <c r="R6" s="45"/>
      <c r="U6" s="388" t="s">
        <v>182</v>
      </c>
      <c r="V6" s="388"/>
      <c r="W6" s="388"/>
      <c r="X6" s="388"/>
      <c r="Y6" s="388"/>
      <c r="Z6" s="388"/>
      <c r="AA6" s="388"/>
      <c r="AB6" s="388"/>
      <c r="AC6" s="388"/>
      <c r="AD6" s="388"/>
      <c r="AE6" s="269"/>
    </row>
    <row r="7" spans="2:33" s="41" customFormat="1" ht="23.1" customHeight="1">
      <c r="B7" s="268" t="s">
        <v>20</v>
      </c>
      <c r="D7" s="389" t="s">
        <v>183</v>
      </c>
      <c r="E7" s="389"/>
      <c r="F7" s="389"/>
      <c r="G7" s="389"/>
      <c r="H7" s="389"/>
      <c r="I7" s="389"/>
      <c r="J7" s="389"/>
      <c r="K7" s="389"/>
      <c r="L7" s="389"/>
      <c r="M7" s="390" t="s">
        <v>12</v>
      </c>
      <c r="N7" s="390"/>
      <c r="O7" s="390"/>
      <c r="P7" s="389" t="s">
        <v>184</v>
      </c>
      <c r="Q7" s="389"/>
      <c r="R7" s="389"/>
      <c r="S7" s="389"/>
      <c r="T7" s="389"/>
      <c r="U7" s="389"/>
      <c r="V7" s="389"/>
      <c r="W7" s="389"/>
      <c r="X7" s="391" t="s">
        <v>13</v>
      </c>
      <c r="Y7" s="391"/>
      <c r="Z7" s="388" t="s">
        <v>185</v>
      </c>
      <c r="AA7" s="388"/>
      <c r="AB7" s="388"/>
      <c r="AC7" s="388"/>
      <c r="AD7" s="388"/>
      <c r="AE7" s="269"/>
      <c r="AF7" s="48"/>
    </row>
    <row r="8" spans="2:33" s="41" customFormat="1" ht="23.1" customHeight="1">
      <c r="B8" s="271" t="s">
        <v>14</v>
      </c>
      <c r="C8" s="269"/>
      <c r="D8" s="282" t="s">
        <v>186</v>
      </c>
      <c r="E8" s="283"/>
      <c r="F8" s="361">
        <v>1000</v>
      </c>
      <c r="G8" s="361"/>
      <c r="H8" s="361"/>
      <c r="I8" s="270" t="s">
        <v>16</v>
      </c>
      <c r="L8" s="270" t="s">
        <v>187</v>
      </c>
      <c r="M8" s="270"/>
      <c r="N8" s="398">
        <v>2000</v>
      </c>
      <c r="O8" s="398"/>
      <c r="P8" s="398"/>
      <c r="Q8" s="335" t="s">
        <v>16</v>
      </c>
      <c r="T8" s="270" t="s">
        <v>188</v>
      </c>
      <c r="V8" s="361">
        <v>100</v>
      </c>
      <c r="W8" s="361"/>
      <c r="X8" s="361"/>
      <c r="Y8" s="335" t="s">
        <v>16</v>
      </c>
      <c r="Z8" s="268"/>
      <c r="AA8" s="268"/>
      <c r="AB8" s="268"/>
      <c r="AC8" s="269"/>
      <c r="AD8" s="269"/>
      <c r="AE8" s="269"/>
    </row>
    <row r="9" spans="2:33" s="41" customFormat="1" ht="23.1" customHeight="1">
      <c r="B9" s="272" t="s">
        <v>174</v>
      </c>
      <c r="C9" s="272"/>
      <c r="D9" s="272"/>
      <c r="E9" s="272"/>
      <c r="F9" s="272"/>
      <c r="G9" s="271"/>
      <c r="H9" s="271"/>
      <c r="I9" s="271" t="s">
        <v>175</v>
      </c>
      <c r="K9" s="273"/>
      <c r="M9" s="271" t="s">
        <v>176</v>
      </c>
      <c r="O9" s="271"/>
      <c r="P9" s="280"/>
      <c r="Q9" s="46"/>
      <c r="R9" s="274"/>
      <c r="S9" s="281"/>
      <c r="T9" s="46"/>
      <c r="U9" s="274"/>
      <c r="V9" s="274"/>
      <c r="W9" s="274"/>
      <c r="X9" s="44"/>
      <c r="Y9" s="44"/>
      <c r="Z9" s="44"/>
      <c r="AA9" s="44"/>
      <c r="AB9" s="44"/>
      <c r="AC9" s="44"/>
      <c r="AD9" s="44"/>
      <c r="AE9" s="269"/>
      <c r="AF9" s="48"/>
    </row>
    <row r="10" spans="2:33" s="41" customFormat="1" ht="6.95" customHeight="1">
      <c r="B10" s="275"/>
      <c r="C10" s="275"/>
      <c r="D10" s="275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269"/>
      <c r="AC10" s="269"/>
      <c r="AD10" s="269"/>
      <c r="AE10" s="269"/>
      <c r="AF10" s="48"/>
    </row>
    <row r="11" spans="2:33" s="41" customFormat="1" ht="23.1" customHeight="1">
      <c r="B11" s="271" t="s">
        <v>21</v>
      </c>
      <c r="C11" s="271"/>
      <c r="D11" s="271"/>
      <c r="E11" s="271"/>
      <c r="F11" s="271"/>
      <c r="G11" s="271"/>
      <c r="H11" s="399" t="s">
        <v>190</v>
      </c>
      <c r="I11" s="399"/>
      <c r="J11" s="399"/>
      <c r="K11" s="399"/>
      <c r="L11" s="399"/>
      <c r="M11" s="399"/>
      <c r="N11" s="399"/>
      <c r="O11" s="399"/>
      <c r="P11" s="269"/>
      <c r="Q11" s="269"/>
      <c r="R11" s="268"/>
      <c r="S11" s="277" t="s">
        <v>22</v>
      </c>
      <c r="T11" s="277"/>
      <c r="U11" s="401"/>
      <c r="V11" s="401"/>
      <c r="W11" s="401"/>
      <c r="X11" s="401"/>
      <c r="Y11" s="401"/>
      <c r="Z11" s="401"/>
      <c r="AA11" s="401"/>
      <c r="AB11" s="269"/>
      <c r="AC11" s="269"/>
      <c r="AD11" s="269"/>
      <c r="AE11" s="269"/>
      <c r="AF11" s="114"/>
    </row>
    <row r="12" spans="2:33" s="41" customFormat="1" ht="23.1" customHeight="1">
      <c r="B12" s="271" t="s">
        <v>21</v>
      </c>
      <c r="C12" s="271"/>
      <c r="D12" s="271"/>
      <c r="E12" s="271"/>
      <c r="F12" s="271"/>
      <c r="G12" s="271"/>
      <c r="H12" s="400" t="s">
        <v>191</v>
      </c>
      <c r="I12" s="400"/>
      <c r="J12" s="400"/>
      <c r="K12" s="400"/>
      <c r="L12" s="400"/>
      <c r="M12" s="400"/>
      <c r="N12" s="400"/>
      <c r="O12" s="400"/>
      <c r="P12" s="269"/>
      <c r="Q12" s="269"/>
      <c r="R12" s="268"/>
      <c r="S12" s="277" t="s">
        <v>22</v>
      </c>
      <c r="T12" s="277"/>
      <c r="U12" s="361"/>
      <c r="V12" s="361"/>
      <c r="W12" s="361"/>
      <c r="X12" s="361"/>
      <c r="Y12" s="361"/>
      <c r="Z12" s="361"/>
      <c r="AA12" s="361"/>
      <c r="AB12" s="269"/>
      <c r="AC12" s="269"/>
      <c r="AD12" s="269"/>
      <c r="AE12" s="269"/>
      <c r="AF12" s="114"/>
    </row>
    <row r="13" spans="2:33" s="41" customFormat="1" ht="23.1" customHeight="1">
      <c r="B13" s="271"/>
      <c r="C13" s="271"/>
      <c r="D13" s="271"/>
      <c r="E13" s="271"/>
      <c r="F13" s="271"/>
      <c r="G13" s="271"/>
      <c r="H13" s="273"/>
      <c r="I13" s="273"/>
      <c r="J13" s="273"/>
      <c r="K13" s="273"/>
      <c r="L13" s="273"/>
      <c r="M13" s="273"/>
      <c r="N13" s="273"/>
      <c r="O13" s="273"/>
      <c r="P13" s="269"/>
      <c r="Q13" s="269"/>
      <c r="R13" s="268"/>
      <c r="S13" s="277"/>
      <c r="T13" s="277"/>
      <c r="U13" s="277"/>
      <c r="V13" s="277"/>
      <c r="W13" s="277"/>
      <c r="X13" s="277"/>
      <c r="Y13" s="277"/>
      <c r="Z13" s="277"/>
      <c r="AA13" s="277"/>
      <c r="AB13" s="269"/>
      <c r="AC13" s="269"/>
      <c r="AD13" s="269"/>
      <c r="AE13" s="269"/>
      <c r="AF13" s="114"/>
    </row>
    <row r="14" spans="2:33" ht="18.95" customHeight="1">
      <c r="B14" s="14" t="s">
        <v>179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AG14" s="11"/>
    </row>
    <row r="15" spans="2:33" ht="12" customHeight="1">
      <c r="B15" s="3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T15" s="11"/>
      <c r="AG15" s="11"/>
    </row>
    <row r="16" spans="2:33" s="51" customFormat="1" ht="23.25">
      <c r="B16" s="72"/>
      <c r="C16" s="73" t="s">
        <v>98</v>
      </c>
      <c r="F16" s="74"/>
      <c r="G16" s="73"/>
      <c r="H16" s="65"/>
      <c r="I16" s="65"/>
      <c r="J16" s="75" t="s">
        <v>33</v>
      </c>
      <c r="K16" s="374">
        <v>21.3</v>
      </c>
      <c r="L16" s="374"/>
      <c r="M16" s="76" t="s">
        <v>34</v>
      </c>
      <c r="N16" s="66"/>
      <c r="O16" s="53"/>
      <c r="P16" s="53"/>
      <c r="Q16" s="66"/>
      <c r="R16" s="73" t="s">
        <v>99</v>
      </c>
      <c r="T16" s="74"/>
      <c r="U16" s="73"/>
      <c r="V16" s="52"/>
      <c r="W16" s="52"/>
      <c r="X16" s="75" t="s">
        <v>33</v>
      </c>
      <c r="Y16" s="403">
        <v>21.3</v>
      </c>
      <c r="Z16" s="403"/>
      <c r="AA16" s="76" t="s">
        <v>34</v>
      </c>
      <c r="AB16" s="53"/>
      <c r="AC16" s="53"/>
      <c r="AD16" s="67"/>
      <c r="AG16" s="59"/>
    </row>
    <row r="17" spans="2:42" s="51" customFormat="1" ht="23.25">
      <c r="B17" s="53"/>
      <c r="C17" s="77"/>
      <c r="F17" s="73"/>
      <c r="G17" s="73"/>
      <c r="H17" s="65"/>
      <c r="I17" s="65"/>
      <c r="J17" s="75" t="s">
        <v>35</v>
      </c>
      <c r="K17" s="374">
        <v>21.7</v>
      </c>
      <c r="L17" s="374"/>
      <c r="M17" s="76" t="s">
        <v>34</v>
      </c>
      <c r="N17" s="66"/>
      <c r="O17" s="66"/>
      <c r="P17" s="66"/>
      <c r="Q17" s="66"/>
      <c r="R17" s="66"/>
      <c r="S17" s="73"/>
      <c r="T17" s="73"/>
      <c r="U17" s="73"/>
      <c r="V17" s="52"/>
      <c r="W17" s="52"/>
      <c r="X17" s="75" t="s">
        <v>35</v>
      </c>
      <c r="Y17" s="403">
        <v>21.7</v>
      </c>
      <c r="Z17" s="403"/>
      <c r="AA17" s="76" t="s">
        <v>34</v>
      </c>
      <c r="AB17" s="53"/>
      <c r="AC17" s="53"/>
      <c r="AD17" s="65"/>
      <c r="AG17" s="59"/>
    </row>
    <row r="18" spans="2:42" s="2" customFormat="1" ht="18" customHeight="1">
      <c r="B18" s="85" t="s">
        <v>14</v>
      </c>
      <c r="F18" s="86" t="s">
        <v>84</v>
      </c>
      <c r="H18" s="378">
        <f>F8</f>
        <v>1000</v>
      </c>
      <c r="I18" s="378"/>
      <c r="J18" s="378"/>
      <c r="L18" s="86" t="s">
        <v>85</v>
      </c>
      <c r="N18" s="379">
        <f>N8</f>
        <v>2000</v>
      </c>
      <c r="O18" s="379"/>
      <c r="P18" s="379"/>
      <c r="Q18" s="8"/>
      <c r="R18" s="86" t="s">
        <v>86</v>
      </c>
      <c r="T18" s="379">
        <f>V8</f>
        <v>100</v>
      </c>
      <c r="U18" s="379"/>
      <c r="V18" s="379"/>
      <c r="X18" s="2" t="s">
        <v>87</v>
      </c>
      <c r="Y18"/>
      <c r="Z18" s="89">
        <f>N18/H18</f>
        <v>2</v>
      </c>
      <c r="AA18"/>
      <c r="AB18" s="382"/>
      <c r="AC18" s="382"/>
      <c r="AD18" s="383"/>
      <c r="AE18" s="383"/>
    </row>
    <row r="19" spans="2:42" s="2" customFormat="1" ht="18" customHeight="1">
      <c r="C19" s="90" t="s">
        <v>75</v>
      </c>
      <c r="D19" s="405">
        <f>5.2*10^-6</f>
        <v>5.2000000000000002E-6</v>
      </c>
      <c r="E19" s="405"/>
      <c r="F19" s="405"/>
      <c r="G19" s="405"/>
      <c r="H19" s="82" t="s">
        <v>92</v>
      </c>
      <c r="J19" s="81"/>
      <c r="K19" s="81"/>
      <c r="L19" s="91" t="s">
        <v>43</v>
      </c>
      <c r="M19" s="381">
        <f>77*10^9</f>
        <v>77000000000</v>
      </c>
      <c r="N19" s="381"/>
      <c r="O19" s="381"/>
      <c r="P19" s="381"/>
      <c r="Q19" s="82" t="s">
        <v>81</v>
      </c>
      <c r="R19" s="94"/>
      <c r="AB19" s="382"/>
      <c r="AC19" s="382"/>
      <c r="AD19" s="383"/>
      <c r="AE19" s="383"/>
    </row>
    <row r="20" spans="2:42" s="2" customFormat="1" ht="18" customHeight="1">
      <c r="C20" s="91" t="s">
        <v>76</v>
      </c>
      <c r="D20" s="377">
        <v>9.8000000000000007</v>
      </c>
      <c r="E20" s="377"/>
      <c r="F20" s="377"/>
      <c r="G20" s="377"/>
      <c r="H20" s="82" t="s">
        <v>82</v>
      </c>
      <c r="J20" s="81"/>
      <c r="K20" s="81"/>
      <c r="L20" s="90" t="s">
        <v>77</v>
      </c>
      <c r="M20" s="381">
        <v>0.26</v>
      </c>
      <c r="N20" s="381"/>
      <c r="O20" s="381"/>
      <c r="P20" s="381"/>
      <c r="Q20" s="96"/>
      <c r="R20" s="96"/>
      <c r="T20" s="13"/>
      <c r="V20" s="84" t="s">
        <v>89</v>
      </c>
      <c r="X20" s="2" t="s">
        <v>56</v>
      </c>
      <c r="Y20" s="384">
        <f>'Data Record'!Y16-'Data Record'!Y17</f>
        <v>-0.39999999999999858</v>
      </c>
      <c r="Z20" s="384"/>
      <c r="AB20" s="382"/>
      <c r="AC20" s="382"/>
      <c r="AD20" s="383"/>
      <c r="AE20" s="383"/>
    </row>
    <row r="21" spans="2:42" s="2" customFormat="1" ht="18" customHeight="1">
      <c r="C21" s="91" t="s">
        <v>78</v>
      </c>
      <c r="D21" s="375">
        <f>IF(Z18&lt;=1,0.044,IF(Z18&lt;=1.5,0.07,IF(Z18&gt;1.5,0.103)))</f>
        <v>0.10299999999999999</v>
      </c>
      <c r="E21" s="375"/>
      <c r="F21" s="375"/>
      <c r="G21" s="375"/>
      <c r="J21" s="81"/>
      <c r="K21" s="81"/>
      <c r="L21" s="90" t="s">
        <v>80</v>
      </c>
      <c r="M21" s="381">
        <f>6.37*10^6</f>
        <v>6370000</v>
      </c>
      <c r="N21" s="381"/>
      <c r="O21" s="381"/>
      <c r="P21" s="381"/>
      <c r="Q21" s="83" t="s">
        <v>79</v>
      </c>
      <c r="R21" s="94"/>
      <c r="V21" s="92" t="s">
        <v>90</v>
      </c>
      <c r="X21" s="2" t="s">
        <v>56</v>
      </c>
      <c r="Y21" s="366">
        <f>1*10^-6/SQRT(3)</f>
        <v>5.7735026918962578E-7</v>
      </c>
      <c r="Z21" s="366"/>
      <c r="AB21"/>
      <c r="AC21"/>
      <c r="AD21"/>
    </row>
    <row r="22" spans="2:42" s="2" customFormat="1" ht="18" customHeight="1">
      <c r="C22" s="92" t="s">
        <v>80</v>
      </c>
      <c r="D22" s="376">
        <v>2750</v>
      </c>
      <c r="E22" s="376"/>
      <c r="F22" s="376"/>
      <c r="G22" s="376"/>
      <c r="H22" s="82" t="s">
        <v>83</v>
      </c>
      <c r="I22" s="81"/>
      <c r="J22" s="81"/>
      <c r="K22" s="81"/>
      <c r="L22" s="108" t="s">
        <v>94</v>
      </c>
      <c r="M22" s="380">
        <f>SQRT(N18^2+H18^2)</f>
        <v>2236.0679774997898</v>
      </c>
      <c r="N22" s="380"/>
      <c r="O22" s="380"/>
      <c r="P22" s="380"/>
      <c r="Q22" s="8"/>
      <c r="R22" s="8"/>
      <c r="S22" s="13"/>
      <c r="T22" s="13"/>
      <c r="V22" s="84" t="s">
        <v>91</v>
      </c>
      <c r="X22" s="2" t="s">
        <v>56</v>
      </c>
      <c r="Y22" s="366">
        <f>Y20/2</f>
        <v>-0.19999999999999929</v>
      </c>
      <c r="Z22" s="366"/>
      <c r="AA22"/>
      <c r="AB22"/>
      <c r="AC22"/>
      <c r="AD22"/>
    </row>
    <row r="23" spans="2:42" ht="23.25" customHeight="1">
      <c r="B23" s="1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AG23" s="11"/>
    </row>
    <row r="24" spans="2:42" s="333" customFormat="1" ht="18.75" customHeight="1">
      <c r="B24" s="330" t="s">
        <v>37</v>
      </c>
      <c r="C24" s="330"/>
      <c r="D24" s="331"/>
      <c r="E24" s="331"/>
      <c r="F24" s="331"/>
      <c r="G24" s="332"/>
      <c r="H24" s="332"/>
      <c r="I24" s="332"/>
      <c r="J24" s="332"/>
      <c r="K24" s="332"/>
      <c r="L24" s="332"/>
      <c r="O24" s="332"/>
      <c r="P24" s="332"/>
      <c r="Q24" s="332"/>
      <c r="R24" s="332"/>
      <c r="S24" s="332"/>
      <c r="T24" s="12"/>
      <c r="U24" s="12"/>
      <c r="V24" s="12"/>
      <c r="AC24" s="365" t="s">
        <v>38</v>
      </c>
      <c r="AD24" s="365"/>
      <c r="AE24" s="365"/>
    </row>
    <row r="25" spans="2:42" s="333" customFormat="1" ht="21" customHeight="1">
      <c r="B25" s="372" t="s">
        <v>48</v>
      </c>
      <c r="C25" s="372"/>
      <c r="D25" s="367"/>
      <c r="E25" s="367" t="s">
        <v>39</v>
      </c>
      <c r="F25" s="368"/>
      <c r="G25" s="367" t="s">
        <v>40</v>
      </c>
      <c r="H25" s="368"/>
      <c r="I25" s="371" t="s">
        <v>41</v>
      </c>
      <c r="J25" s="371"/>
      <c r="K25" s="369" t="s">
        <v>42</v>
      </c>
      <c r="L25" s="371"/>
      <c r="M25" s="367" t="s">
        <v>43</v>
      </c>
      <c r="N25" s="368"/>
      <c r="O25" s="371" t="s">
        <v>44</v>
      </c>
      <c r="P25" s="371"/>
      <c r="Q25" s="369" t="s">
        <v>45</v>
      </c>
      <c r="R25" s="371"/>
      <c r="S25" s="367" t="s">
        <v>46</v>
      </c>
      <c r="T25" s="368"/>
      <c r="U25" s="371" t="s">
        <v>47</v>
      </c>
      <c r="V25" s="371"/>
      <c r="W25" s="369" t="s">
        <v>165</v>
      </c>
      <c r="X25" s="370"/>
      <c r="Y25" s="363" t="s">
        <v>100</v>
      </c>
      <c r="Z25" s="364"/>
      <c r="AA25" s="349" t="s">
        <v>101</v>
      </c>
      <c r="AB25" s="350"/>
      <c r="AC25" s="350"/>
      <c r="AD25" s="350"/>
      <c r="AE25" s="351"/>
      <c r="AF25" s="12"/>
      <c r="AG25" s="334"/>
      <c r="AH25" s="334"/>
      <c r="AI25" s="12"/>
      <c r="AJ25" s="12"/>
      <c r="AL25" s="12"/>
      <c r="AM25" s="12"/>
      <c r="AN25" s="12"/>
      <c r="AO25" s="12"/>
      <c r="AP25" s="12"/>
    </row>
    <row r="26" spans="2:42" s="333" customFormat="1" ht="21" customHeight="1">
      <c r="B26" s="369" t="s">
        <v>49</v>
      </c>
      <c r="C26" s="371"/>
      <c r="D26" s="370"/>
      <c r="E26" s="404">
        <v>0.5</v>
      </c>
      <c r="F26" s="404"/>
      <c r="G26" s="404">
        <v>1</v>
      </c>
      <c r="H26" s="404"/>
      <c r="I26" s="404">
        <v>1E-3</v>
      </c>
      <c r="J26" s="404"/>
      <c r="K26" s="404">
        <v>1.5E-3</v>
      </c>
      <c r="L26" s="404"/>
      <c r="M26" s="404">
        <v>1E-3</v>
      </c>
      <c r="N26" s="404"/>
      <c r="O26" s="404">
        <v>-0.5</v>
      </c>
      <c r="P26" s="404"/>
      <c r="Q26" s="404">
        <v>-0.5</v>
      </c>
      <c r="R26" s="404"/>
      <c r="S26" s="404">
        <v>1.5E-3</v>
      </c>
      <c r="T26" s="404"/>
      <c r="U26" s="404">
        <v>0.5</v>
      </c>
      <c r="V26" s="404"/>
      <c r="W26" s="404">
        <v>1E-3</v>
      </c>
      <c r="X26" s="404"/>
      <c r="Y26" s="362">
        <f>MAX(E26:X26)</f>
        <v>1</v>
      </c>
      <c r="Z26" s="362"/>
      <c r="AA26" s="352">
        <f>STDEV(E26:X31)/SQRT(60)</f>
        <v>6.77348280713196E-2</v>
      </c>
      <c r="AB26" s="353"/>
      <c r="AC26" s="353"/>
      <c r="AD26" s="353"/>
      <c r="AE26" s="354"/>
      <c r="AF26" s="12"/>
      <c r="AG26" s="329"/>
      <c r="AH26" s="329"/>
      <c r="AI26" s="12"/>
      <c r="AJ26" s="12"/>
      <c r="AL26" s="12"/>
      <c r="AM26" s="12"/>
      <c r="AN26" s="12"/>
      <c r="AO26" s="12"/>
      <c r="AP26" s="12"/>
    </row>
    <row r="27" spans="2:42" s="333" customFormat="1" ht="21" customHeight="1">
      <c r="B27" s="373" t="s">
        <v>50</v>
      </c>
      <c r="C27" s="373"/>
      <c r="D27" s="373"/>
      <c r="E27" s="347">
        <v>0.5</v>
      </c>
      <c r="F27" s="347"/>
      <c r="G27" s="347">
        <v>1</v>
      </c>
      <c r="H27" s="347"/>
      <c r="I27" s="347">
        <v>-1</v>
      </c>
      <c r="J27" s="347"/>
      <c r="K27" s="347">
        <v>-0.5</v>
      </c>
      <c r="L27" s="347"/>
      <c r="M27" s="347">
        <v>1E-3</v>
      </c>
      <c r="N27" s="347"/>
      <c r="O27" s="347">
        <v>0.5</v>
      </c>
      <c r="P27" s="347"/>
      <c r="Q27" s="347">
        <v>-1</v>
      </c>
      <c r="R27" s="347"/>
      <c r="S27" s="347">
        <v>0</v>
      </c>
      <c r="T27" s="347"/>
      <c r="U27" s="347">
        <v>1</v>
      </c>
      <c r="V27" s="347"/>
      <c r="W27" s="347">
        <v>1E-3</v>
      </c>
      <c r="X27" s="347"/>
      <c r="Y27" s="362">
        <f t="shared" ref="Y27:Y31" si="0">MAX(E27:X27)</f>
        <v>1</v>
      </c>
      <c r="Z27" s="362"/>
      <c r="AA27" s="355"/>
      <c r="AB27" s="356"/>
      <c r="AC27" s="356"/>
      <c r="AD27" s="356"/>
      <c r="AE27" s="357"/>
      <c r="AF27" s="12"/>
      <c r="AG27" s="329"/>
      <c r="AH27" s="329"/>
      <c r="AI27" s="12"/>
      <c r="AJ27" s="12"/>
      <c r="AL27" s="12"/>
      <c r="AM27" s="12"/>
      <c r="AN27" s="12"/>
      <c r="AO27" s="12"/>
      <c r="AP27" s="12"/>
    </row>
    <row r="28" spans="2:42" s="333" customFormat="1" ht="21" customHeight="1">
      <c r="B28" s="373" t="s">
        <v>51</v>
      </c>
      <c r="C28" s="373"/>
      <c r="D28" s="373"/>
      <c r="E28" s="347">
        <v>0.5</v>
      </c>
      <c r="F28" s="347"/>
      <c r="G28" s="347">
        <v>1</v>
      </c>
      <c r="H28" s="347"/>
      <c r="I28" s="347">
        <v>1E-3</v>
      </c>
      <c r="J28" s="347"/>
      <c r="K28" s="347">
        <v>0.5</v>
      </c>
      <c r="L28" s="347"/>
      <c r="M28" s="347">
        <v>1</v>
      </c>
      <c r="N28" s="347"/>
      <c r="O28" s="347">
        <v>1</v>
      </c>
      <c r="P28" s="347"/>
      <c r="Q28" s="347">
        <v>-0.5</v>
      </c>
      <c r="R28" s="347"/>
      <c r="S28" s="347">
        <v>1.5E-3</v>
      </c>
      <c r="T28" s="347"/>
      <c r="U28" s="347">
        <v>1</v>
      </c>
      <c r="V28" s="347"/>
      <c r="W28" s="347">
        <v>1E-3</v>
      </c>
      <c r="X28" s="347"/>
      <c r="Y28" s="362">
        <f t="shared" si="0"/>
        <v>1</v>
      </c>
      <c r="Z28" s="362"/>
      <c r="AA28" s="355"/>
      <c r="AB28" s="356"/>
      <c r="AC28" s="356"/>
      <c r="AD28" s="356"/>
      <c r="AE28" s="357"/>
      <c r="AF28" s="12"/>
      <c r="AG28" s="329"/>
      <c r="AH28" s="329"/>
      <c r="AI28" s="12"/>
      <c r="AJ28" s="12"/>
      <c r="AL28" s="12"/>
      <c r="AM28" s="12"/>
      <c r="AN28" s="12"/>
      <c r="AO28" s="12"/>
      <c r="AP28" s="12"/>
    </row>
    <row r="29" spans="2:42" s="333" customFormat="1" ht="21" customHeight="1">
      <c r="B29" s="373" t="s">
        <v>52</v>
      </c>
      <c r="C29" s="373"/>
      <c r="D29" s="373"/>
      <c r="E29" s="347">
        <v>-0.5</v>
      </c>
      <c r="F29" s="347"/>
      <c r="G29" s="347">
        <v>0.5</v>
      </c>
      <c r="H29" s="347"/>
      <c r="I29" s="347">
        <v>1E-3</v>
      </c>
      <c r="J29" s="347"/>
      <c r="K29" s="347">
        <v>1.5E-3</v>
      </c>
      <c r="L29" s="347"/>
      <c r="M29" s="347">
        <v>0.5</v>
      </c>
      <c r="N29" s="347"/>
      <c r="O29" s="347">
        <v>-0.5</v>
      </c>
      <c r="P29" s="347"/>
      <c r="Q29" s="347">
        <v>-0.5</v>
      </c>
      <c r="R29" s="347"/>
      <c r="S29" s="347">
        <v>1</v>
      </c>
      <c r="T29" s="347"/>
      <c r="U29" s="347">
        <v>0</v>
      </c>
      <c r="V29" s="347"/>
      <c r="W29" s="347">
        <v>-0.5</v>
      </c>
      <c r="X29" s="347"/>
      <c r="Y29" s="362">
        <f t="shared" si="0"/>
        <v>1</v>
      </c>
      <c r="Z29" s="362"/>
      <c r="AA29" s="355"/>
      <c r="AB29" s="356"/>
      <c r="AC29" s="356"/>
      <c r="AD29" s="356"/>
      <c r="AE29" s="357"/>
      <c r="AF29" s="12"/>
      <c r="AG29" s="329"/>
      <c r="AH29" s="329"/>
      <c r="AI29" s="12"/>
      <c r="AJ29" s="12"/>
      <c r="AL29" s="12"/>
      <c r="AM29" s="12"/>
      <c r="AN29" s="12"/>
      <c r="AO29" s="12"/>
      <c r="AP29" s="12"/>
    </row>
    <row r="30" spans="2:42" s="333" customFormat="1" ht="21" customHeight="1">
      <c r="B30" s="373" t="s">
        <v>53</v>
      </c>
      <c r="C30" s="373"/>
      <c r="D30" s="373"/>
      <c r="E30" s="347">
        <v>1E-3</v>
      </c>
      <c r="F30" s="347"/>
      <c r="G30" s="347">
        <v>1</v>
      </c>
      <c r="H30" s="347"/>
      <c r="I30" s="347">
        <v>0</v>
      </c>
      <c r="J30" s="347"/>
      <c r="K30" s="347">
        <v>-0.5</v>
      </c>
      <c r="L30" s="347"/>
      <c r="M30" s="347">
        <v>0</v>
      </c>
      <c r="N30" s="347"/>
      <c r="O30" s="347">
        <v>0</v>
      </c>
      <c r="P30" s="347"/>
      <c r="Q30" s="347">
        <v>-0.5</v>
      </c>
      <c r="R30" s="347"/>
      <c r="S30" s="347">
        <v>0</v>
      </c>
      <c r="T30" s="347"/>
      <c r="U30" s="347">
        <v>-0.5</v>
      </c>
      <c r="V30" s="347"/>
      <c r="W30" s="347">
        <v>-0.5</v>
      </c>
      <c r="X30" s="347"/>
      <c r="Y30" s="362">
        <f t="shared" si="0"/>
        <v>1</v>
      </c>
      <c r="Z30" s="362"/>
      <c r="AA30" s="355"/>
      <c r="AB30" s="356"/>
      <c r="AC30" s="356"/>
      <c r="AD30" s="356"/>
      <c r="AE30" s="357"/>
      <c r="AF30" s="12"/>
      <c r="AG30" s="329"/>
      <c r="AH30" s="329"/>
      <c r="AI30" s="12"/>
      <c r="AJ30" s="12"/>
      <c r="AL30" s="12"/>
      <c r="AM30" s="12"/>
      <c r="AN30" s="12"/>
      <c r="AO30" s="12"/>
      <c r="AP30" s="12"/>
    </row>
    <row r="31" spans="2:42" s="333" customFormat="1" ht="21" customHeight="1">
      <c r="B31" s="402" t="s">
        <v>54</v>
      </c>
      <c r="C31" s="402"/>
      <c r="D31" s="402"/>
      <c r="E31" s="348">
        <v>0.5</v>
      </c>
      <c r="F31" s="348"/>
      <c r="G31" s="348">
        <v>1.5E-3</v>
      </c>
      <c r="H31" s="348"/>
      <c r="I31" s="348">
        <v>-0.5</v>
      </c>
      <c r="J31" s="348"/>
      <c r="K31" s="348">
        <v>1.5E-3</v>
      </c>
      <c r="L31" s="348"/>
      <c r="M31" s="348">
        <v>1E-3</v>
      </c>
      <c r="N31" s="348"/>
      <c r="O31" s="348">
        <v>0.5</v>
      </c>
      <c r="P31" s="348"/>
      <c r="Q31" s="348">
        <v>1E-3</v>
      </c>
      <c r="R31" s="348"/>
      <c r="S31" s="348">
        <v>1.5E-3</v>
      </c>
      <c r="T31" s="348"/>
      <c r="U31" s="348">
        <v>1E-3</v>
      </c>
      <c r="V31" s="348"/>
      <c r="W31" s="348">
        <v>1E-3</v>
      </c>
      <c r="X31" s="348"/>
      <c r="Y31" s="362">
        <f t="shared" si="0"/>
        <v>0.5</v>
      </c>
      <c r="Z31" s="362"/>
      <c r="AA31" s="358"/>
      <c r="AB31" s="359"/>
      <c r="AC31" s="359"/>
      <c r="AD31" s="359"/>
      <c r="AE31" s="360"/>
      <c r="AF31" s="12"/>
      <c r="AG31" s="329"/>
      <c r="AH31" s="329"/>
      <c r="AI31" s="12"/>
      <c r="AJ31" s="12"/>
      <c r="AL31" s="12"/>
      <c r="AM31" s="12"/>
      <c r="AN31" s="12"/>
      <c r="AO31" s="12"/>
      <c r="AP31" s="12"/>
    </row>
    <row r="32" spans="2:42" customFormat="1" ht="18.75" customHeight="1">
      <c r="B32" s="79"/>
      <c r="C32" s="79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78"/>
      <c r="P32" s="78"/>
      <c r="Q32" s="78"/>
      <c r="R32" s="78"/>
      <c r="S32" s="78"/>
      <c r="T32" s="78"/>
      <c r="U32" s="78"/>
      <c r="V32" s="78"/>
    </row>
    <row r="39" spans="3:15" ht="18.75" customHeight="1">
      <c r="C39" s="397" t="s">
        <v>180</v>
      </c>
      <c r="D39" s="397"/>
      <c r="E39" s="397"/>
      <c r="F39" s="397"/>
      <c r="G39" s="170"/>
      <c r="H39" s="278" t="str">
        <f>H42</f>
        <v>Ms. Arunkamon Raramanus</v>
      </c>
      <c r="I39" s="278"/>
      <c r="J39" s="278"/>
      <c r="K39" s="278"/>
      <c r="L39" s="278"/>
      <c r="M39" s="278"/>
      <c r="N39" s="278"/>
      <c r="O39" s="278"/>
    </row>
    <row r="40" spans="3:15" ht="18.75" customHeight="1">
      <c r="C40" s="336"/>
      <c r="D40" s="336"/>
      <c r="E40" s="336"/>
      <c r="F40" s="336"/>
      <c r="G40" s="170"/>
      <c r="H40" s="279"/>
      <c r="I40" s="279"/>
      <c r="J40" s="279"/>
      <c r="K40" s="279"/>
      <c r="L40" s="279"/>
      <c r="M40" s="279"/>
      <c r="N40" s="279"/>
      <c r="O40" s="279"/>
    </row>
    <row r="42" spans="3:15" ht="18.75" customHeight="1">
      <c r="F42" s="124">
        <v>11</v>
      </c>
      <c r="G42" s="124"/>
      <c r="H42" s="337" t="s">
        <v>125</v>
      </c>
      <c r="I42" s="333"/>
      <c r="J42" s="170"/>
    </row>
  </sheetData>
  <mergeCells count="135">
    <mergeCell ref="C39:F39"/>
    <mergeCell ref="F8:H8"/>
    <mergeCell ref="N8:P8"/>
    <mergeCell ref="H11:O11"/>
    <mergeCell ref="H12:O12"/>
    <mergeCell ref="U11:AA11"/>
    <mergeCell ref="U12:AA12"/>
    <mergeCell ref="B31:D31"/>
    <mergeCell ref="Y17:Z17"/>
    <mergeCell ref="Y16:Z16"/>
    <mergeCell ref="K16:L16"/>
    <mergeCell ref="O26:P26"/>
    <mergeCell ref="M26:N26"/>
    <mergeCell ref="K26:L26"/>
    <mergeCell ref="I26:J26"/>
    <mergeCell ref="G26:H26"/>
    <mergeCell ref="E26:F26"/>
    <mergeCell ref="W26:X26"/>
    <mergeCell ref="U26:V26"/>
    <mergeCell ref="S26:T26"/>
    <mergeCell ref="Q26:R26"/>
    <mergeCell ref="T18:V18"/>
    <mergeCell ref="D19:G19"/>
    <mergeCell ref="M19:P19"/>
    <mergeCell ref="AA2:AE2"/>
    <mergeCell ref="R3:S3"/>
    <mergeCell ref="U3:V3"/>
    <mergeCell ref="G5:AD5"/>
    <mergeCell ref="G6:P6"/>
    <mergeCell ref="U6:AD6"/>
    <mergeCell ref="D7:L7"/>
    <mergeCell ref="M7:O7"/>
    <mergeCell ref="P7:W7"/>
    <mergeCell ref="X7:Y7"/>
    <mergeCell ref="Z7:AD7"/>
    <mergeCell ref="B1:K2"/>
    <mergeCell ref="Q1:V1"/>
    <mergeCell ref="Q2:U2"/>
    <mergeCell ref="B3:K3"/>
    <mergeCell ref="B4:K4"/>
    <mergeCell ref="M20:P20"/>
    <mergeCell ref="M21:P21"/>
    <mergeCell ref="AB18:AC18"/>
    <mergeCell ref="AB19:AC19"/>
    <mergeCell ref="AB20:AC20"/>
    <mergeCell ref="AD18:AE18"/>
    <mergeCell ref="AD19:AE19"/>
    <mergeCell ref="AD20:AE20"/>
    <mergeCell ref="Y20:Z20"/>
    <mergeCell ref="Y21:Z21"/>
    <mergeCell ref="B25:D25"/>
    <mergeCell ref="B26:D26"/>
    <mergeCell ref="B27:D27"/>
    <mergeCell ref="B28:D28"/>
    <mergeCell ref="B29:D29"/>
    <mergeCell ref="B30:D30"/>
    <mergeCell ref="K17:L17"/>
    <mergeCell ref="Q28:R28"/>
    <mergeCell ref="D21:G21"/>
    <mergeCell ref="D22:G22"/>
    <mergeCell ref="D20:G20"/>
    <mergeCell ref="H18:J18"/>
    <mergeCell ref="N18:P18"/>
    <mergeCell ref="M22:P22"/>
    <mergeCell ref="Q29:R29"/>
    <mergeCell ref="I27:J27"/>
    <mergeCell ref="Q27:R27"/>
    <mergeCell ref="O30:P30"/>
    <mergeCell ref="O29:P29"/>
    <mergeCell ref="O28:P28"/>
    <mergeCell ref="O27:P27"/>
    <mergeCell ref="G27:H27"/>
    <mergeCell ref="G28:H28"/>
    <mergeCell ref="G29:H29"/>
    <mergeCell ref="G30:H30"/>
    <mergeCell ref="Y31:Z31"/>
    <mergeCell ref="Y30:Z30"/>
    <mergeCell ref="Y29:Z29"/>
    <mergeCell ref="Y28:Z28"/>
    <mergeCell ref="Y27:Z27"/>
    <mergeCell ref="K27:L27"/>
    <mergeCell ref="K28:L28"/>
    <mergeCell ref="K29:L29"/>
    <mergeCell ref="K30:L30"/>
    <mergeCell ref="K31:L31"/>
    <mergeCell ref="Y22:Z22"/>
    <mergeCell ref="G25:H25"/>
    <mergeCell ref="E25:F25"/>
    <mergeCell ref="W25:X25"/>
    <mergeCell ref="U25:V25"/>
    <mergeCell ref="S25:T25"/>
    <mergeCell ref="Q25:R25"/>
    <mergeCell ref="O25:P25"/>
    <mergeCell ref="M25:N25"/>
    <mergeCell ref="K25:L25"/>
    <mergeCell ref="I25:J25"/>
    <mergeCell ref="AA25:AE25"/>
    <mergeCell ref="AA26:AE31"/>
    <mergeCell ref="V8:X8"/>
    <mergeCell ref="Y26:Z26"/>
    <mergeCell ref="Y25:Z25"/>
    <mergeCell ref="AC24:AE24"/>
    <mergeCell ref="G31:H31"/>
    <mergeCell ref="E31:F31"/>
    <mergeCell ref="E30:F30"/>
    <mergeCell ref="E29:F29"/>
    <mergeCell ref="E28:F28"/>
    <mergeCell ref="E27:F27"/>
    <mergeCell ref="W31:X31"/>
    <mergeCell ref="W30:X30"/>
    <mergeCell ref="W29:X29"/>
    <mergeCell ref="W28:X28"/>
    <mergeCell ref="W27:X27"/>
    <mergeCell ref="U31:V31"/>
    <mergeCell ref="U30:V30"/>
    <mergeCell ref="U29:V29"/>
    <mergeCell ref="U28:V28"/>
    <mergeCell ref="U27:V27"/>
    <mergeCell ref="S31:T31"/>
    <mergeCell ref="S30:T30"/>
    <mergeCell ref="M27:N27"/>
    <mergeCell ref="S29:T29"/>
    <mergeCell ref="S28:T28"/>
    <mergeCell ref="S27:T27"/>
    <mergeCell ref="I31:J31"/>
    <mergeCell ref="I30:J30"/>
    <mergeCell ref="I29:J29"/>
    <mergeCell ref="I28:J28"/>
    <mergeCell ref="O31:P31"/>
    <mergeCell ref="M31:N31"/>
    <mergeCell ref="M30:N30"/>
    <mergeCell ref="M29:N29"/>
    <mergeCell ref="M28:N28"/>
    <mergeCell ref="Q31:R31"/>
    <mergeCell ref="Q30:R30"/>
  </mergeCells>
  <pageMargins left="0.70866141732283472" right="0.70866141732283472" top="0.74803149606299213" bottom="0.74803149606299213" header="0.31496062992125984" footer="0.31496062992125984"/>
  <pageSetup paperSize="9" scale="86" orientation="portrait" horizontalDpi="1200" verticalDpi="1200" r:id="rId1"/>
  <headerFooter>
    <oddFooter>&amp;R&amp;"Gulim,Regular"&amp;10SP-FMD-04-17 Rev.0 Effective date 6-Nov-15</oddFooter>
  </headerFooter>
  <colBreaks count="1" manualBreakCount="1">
    <brk id="32" max="37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24</xdr:col>
                    <xdr:colOff>209550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85725</xdr:rowOff>
                  </from>
                  <to>
                    <xdr:col>16</xdr:col>
                    <xdr:colOff>209550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8</xdr:row>
                    <xdr:rowOff>85725</xdr:rowOff>
                  </from>
                  <to>
                    <xdr:col>7</xdr:col>
                    <xdr:colOff>209550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85725</xdr:rowOff>
                  </from>
                  <to>
                    <xdr:col>11</xdr:col>
                    <xdr:colOff>209550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topLeftCell="A17" zoomScaleNormal="100" zoomScaleSheetLayoutView="100" workbookViewId="0">
      <selection activeCell="O42" sqref="O42"/>
    </sheetView>
  </sheetViews>
  <sheetFormatPr defaultColWidth="9.140625" defaultRowHeight="20.25"/>
  <cols>
    <col min="1" max="9" width="3.7109375" style="116" customWidth="1"/>
    <col min="10" max="13" width="3.42578125" style="116" customWidth="1"/>
    <col min="14" max="14" width="3.7109375" style="116" customWidth="1"/>
    <col min="15" max="21" width="3.42578125" style="116" customWidth="1"/>
    <col min="22" max="22" width="3.7109375" style="116" customWidth="1"/>
    <col min="23" max="28" width="3.42578125" style="116" customWidth="1"/>
    <col min="29" max="31" width="3.7109375" style="116" customWidth="1"/>
    <col min="32" max="256" width="9.140625" style="116"/>
    <col min="257" max="265" width="3.7109375" style="116" customWidth="1"/>
    <col min="266" max="269" width="3.42578125" style="116" customWidth="1"/>
    <col min="270" max="270" width="3.7109375" style="116" customWidth="1"/>
    <col min="271" max="277" width="3.42578125" style="116" customWidth="1"/>
    <col min="278" max="278" width="3.7109375" style="116" customWidth="1"/>
    <col min="279" max="284" width="3.42578125" style="116" customWidth="1"/>
    <col min="285" max="287" width="3.7109375" style="116" customWidth="1"/>
    <col min="288" max="512" width="9.140625" style="116"/>
    <col min="513" max="521" width="3.7109375" style="116" customWidth="1"/>
    <col min="522" max="525" width="3.42578125" style="116" customWidth="1"/>
    <col min="526" max="526" width="3.7109375" style="116" customWidth="1"/>
    <col min="527" max="533" width="3.42578125" style="116" customWidth="1"/>
    <col min="534" max="534" width="3.7109375" style="116" customWidth="1"/>
    <col min="535" max="540" width="3.42578125" style="116" customWidth="1"/>
    <col min="541" max="543" width="3.7109375" style="116" customWidth="1"/>
    <col min="544" max="768" width="9.140625" style="116"/>
    <col min="769" max="777" width="3.7109375" style="116" customWidth="1"/>
    <col min="778" max="781" width="3.42578125" style="116" customWidth="1"/>
    <col min="782" max="782" width="3.7109375" style="116" customWidth="1"/>
    <col min="783" max="789" width="3.42578125" style="116" customWidth="1"/>
    <col min="790" max="790" width="3.7109375" style="116" customWidth="1"/>
    <col min="791" max="796" width="3.42578125" style="116" customWidth="1"/>
    <col min="797" max="799" width="3.7109375" style="116" customWidth="1"/>
    <col min="800" max="1024" width="9.140625" style="116"/>
    <col min="1025" max="1033" width="3.7109375" style="116" customWidth="1"/>
    <col min="1034" max="1037" width="3.42578125" style="116" customWidth="1"/>
    <col min="1038" max="1038" width="3.7109375" style="116" customWidth="1"/>
    <col min="1039" max="1045" width="3.42578125" style="116" customWidth="1"/>
    <col min="1046" max="1046" width="3.7109375" style="116" customWidth="1"/>
    <col min="1047" max="1052" width="3.42578125" style="116" customWidth="1"/>
    <col min="1053" max="1055" width="3.7109375" style="116" customWidth="1"/>
    <col min="1056" max="1280" width="9.140625" style="116"/>
    <col min="1281" max="1289" width="3.7109375" style="116" customWidth="1"/>
    <col min="1290" max="1293" width="3.42578125" style="116" customWidth="1"/>
    <col min="1294" max="1294" width="3.7109375" style="116" customWidth="1"/>
    <col min="1295" max="1301" width="3.42578125" style="116" customWidth="1"/>
    <col min="1302" max="1302" width="3.7109375" style="116" customWidth="1"/>
    <col min="1303" max="1308" width="3.42578125" style="116" customWidth="1"/>
    <col min="1309" max="1311" width="3.7109375" style="116" customWidth="1"/>
    <col min="1312" max="1536" width="9.140625" style="116"/>
    <col min="1537" max="1545" width="3.7109375" style="116" customWidth="1"/>
    <col min="1546" max="1549" width="3.42578125" style="116" customWidth="1"/>
    <col min="1550" max="1550" width="3.7109375" style="116" customWidth="1"/>
    <col min="1551" max="1557" width="3.42578125" style="116" customWidth="1"/>
    <col min="1558" max="1558" width="3.7109375" style="116" customWidth="1"/>
    <col min="1559" max="1564" width="3.42578125" style="116" customWidth="1"/>
    <col min="1565" max="1567" width="3.7109375" style="116" customWidth="1"/>
    <col min="1568" max="1792" width="9.140625" style="116"/>
    <col min="1793" max="1801" width="3.7109375" style="116" customWidth="1"/>
    <col min="1802" max="1805" width="3.42578125" style="116" customWidth="1"/>
    <col min="1806" max="1806" width="3.7109375" style="116" customWidth="1"/>
    <col min="1807" max="1813" width="3.42578125" style="116" customWidth="1"/>
    <col min="1814" max="1814" width="3.7109375" style="116" customWidth="1"/>
    <col min="1815" max="1820" width="3.42578125" style="116" customWidth="1"/>
    <col min="1821" max="1823" width="3.7109375" style="116" customWidth="1"/>
    <col min="1824" max="2048" width="9.140625" style="116"/>
    <col min="2049" max="2057" width="3.7109375" style="116" customWidth="1"/>
    <col min="2058" max="2061" width="3.42578125" style="116" customWidth="1"/>
    <col min="2062" max="2062" width="3.7109375" style="116" customWidth="1"/>
    <col min="2063" max="2069" width="3.42578125" style="116" customWidth="1"/>
    <col min="2070" max="2070" width="3.7109375" style="116" customWidth="1"/>
    <col min="2071" max="2076" width="3.42578125" style="116" customWidth="1"/>
    <col min="2077" max="2079" width="3.7109375" style="116" customWidth="1"/>
    <col min="2080" max="2304" width="9.140625" style="116"/>
    <col min="2305" max="2313" width="3.7109375" style="116" customWidth="1"/>
    <col min="2314" max="2317" width="3.42578125" style="116" customWidth="1"/>
    <col min="2318" max="2318" width="3.7109375" style="116" customWidth="1"/>
    <col min="2319" max="2325" width="3.42578125" style="116" customWidth="1"/>
    <col min="2326" max="2326" width="3.7109375" style="116" customWidth="1"/>
    <col min="2327" max="2332" width="3.42578125" style="116" customWidth="1"/>
    <col min="2333" max="2335" width="3.7109375" style="116" customWidth="1"/>
    <col min="2336" max="2560" width="9.140625" style="116"/>
    <col min="2561" max="2569" width="3.7109375" style="116" customWidth="1"/>
    <col min="2570" max="2573" width="3.42578125" style="116" customWidth="1"/>
    <col min="2574" max="2574" width="3.7109375" style="116" customWidth="1"/>
    <col min="2575" max="2581" width="3.42578125" style="116" customWidth="1"/>
    <col min="2582" max="2582" width="3.7109375" style="116" customWidth="1"/>
    <col min="2583" max="2588" width="3.42578125" style="116" customWidth="1"/>
    <col min="2589" max="2591" width="3.7109375" style="116" customWidth="1"/>
    <col min="2592" max="2816" width="9.140625" style="116"/>
    <col min="2817" max="2825" width="3.7109375" style="116" customWidth="1"/>
    <col min="2826" max="2829" width="3.42578125" style="116" customWidth="1"/>
    <col min="2830" max="2830" width="3.7109375" style="116" customWidth="1"/>
    <col min="2831" max="2837" width="3.42578125" style="116" customWidth="1"/>
    <col min="2838" max="2838" width="3.7109375" style="116" customWidth="1"/>
    <col min="2839" max="2844" width="3.42578125" style="116" customWidth="1"/>
    <col min="2845" max="2847" width="3.7109375" style="116" customWidth="1"/>
    <col min="2848" max="3072" width="9.140625" style="116"/>
    <col min="3073" max="3081" width="3.7109375" style="116" customWidth="1"/>
    <col min="3082" max="3085" width="3.42578125" style="116" customWidth="1"/>
    <col min="3086" max="3086" width="3.7109375" style="116" customWidth="1"/>
    <col min="3087" max="3093" width="3.42578125" style="116" customWidth="1"/>
    <col min="3094" max="3094" width="3.7109375" style="116" customWidth="1"/>
    <col min="3095" max="3100" width="3.42578125" style="116" customWidth="1"/>
    <col min="3101" max="3103" width="3.7109375" style="116" customWidth="1"/>
    <col min="3104" max="3328" width="9.140625" style="116"/>
    <col min="3329" max="3337" width="3.7109375" style="116" customWidth="1"/>
    <col min="3338" max="3341" width="3.42578125" style="116" customWidth="1"/>
    <col min="3342" max="3342" width="3.7109375" style="116" customWidth="1"/>
    <col min="3343" max="3349" width="3.42578125" style="116" customWidth="1"/>
    <col min="3350" max="3350" width="3.7109375" style="116" customWidth="1"/>
    <col min="3351" max="3356" width="3.42578125" style="116" customWidth="1"/>
    <col min="3357" max="3359" width="3.7109375" style="116" customWidth="1"/>
    <col min="3360" max="3584" width="9.140625" style="116"/>
    <col min="3585" max="3593" width="3.7109375" style="116" customWidth="1"/>
    <col min="3594" max="3597" width="3.42578125" style="116" customWidth="1"/>
    <col min="3598" max="3598" width="3.7109375" style="116" customWidth="1"/>
    <col min="3599" max="3605" width="3.42578125" style="116" customWidth="1"/>
    <col min="3606" max="3606" width="3.7109375" style="116" customWidth="1"/>
    <col min="3607" max="3612" width="3.42578125" style="116" customWidth="1"/>
    <col min="3613" max="3615" width="3.7109375" style="116" customWidth="1"/>
    <col min="3616" max="3840" width="9.140625" style="116"/>
    <col min="3841" max="3849" width="3.7109375" style="116" customWidth="1"/>
    <col min="3850" max="3853" width="3.42578125" style="116" customWidth="1"/>
    <col min="3854" max="3854" width="3.7109375" style="116" customWidth="1"/>
    <col min="3855" max="3861" width="3.42578125" style="116" customWidth="1"/>
    <col min="3862" max="3862" width="3.7109375" style="116" customWidth="1"/>
    <col min="3863" max="3868" width="3.42578125" style="116" customWidth="1"/>
    <col min="3869" max="3871" width="3.7109375" style="116" customWidth="1"/>
    <col min="3872" max="4096" width="9.140625" style="116"/>
    <col min="4097" max="4105" width="3.7109375" style="116" customWidth="1"/>
    <col min="4106" max="4109" width="3.42578125" style="116" customWidth="1"/>
    <col min="4110" max="4110" width="3.7109375" style="116" customWidth="1"/>
    <col min="4111" max="4117" width="3.42578125" style="116" customWidth="1"/>
    <col min="4118" max="4118" width="3.7109375" style="116" customWidth="1"/>
    <col min="4119" max="4124" width="3.42578125" style="116" customWidth="1"/>
    <col min="4125" max="4127" width="3.7109375" style="116" customWidth="1"/>
    <col min="4128" max="4352" width="9.140625" style="116"/>
    <col min="4353" max="4361" width="3.7109375" style="116" customWidth="1"/>
    <col min="4362" max="4365" width="3.42578125" style="116" customWidth="1"/>
    <col min="4366" max="4366" width="3.7109375" style="116" customWidth="1"/>
    <col min="4367" max="4373" width="3.42578125" style="116" customWidth="1"/>
    <col min="4374" max="4374" width="3.7109375" style="116" customWidth="1"/>
    <col min="4375" max="4380" width="3.42578125" style="116" customWidth="1"/>
    <col min="4381" max="4383" width="3.7109375" style="116" customWidth="1"/>
    <col min="4384" max="4608" width="9.140625" style="116"/>
    <col min="4609" max="4617" width="3.7109375" style="116" customWidth="1"/>
    <col min="4618" max="4621" width="3.42578125" style="116" customWidth="1"/>
    <col min="4622" max="4622" width="3.7109375" style="116" customWidth="1"/>
    <col min="4623" max="4629" width="3.42578125" style="116" customWidth="1"/>
    <col min="4630" max="4630" width="3.7109375" style="116" customWidth="1"/>
    <col min="4631" max="4636" width="3.42578125" style="116" customWidth="1"/>
    <col min="4637" max="4639" width="3.7109375" style="116" customWidth="1"/>
    <col min="4640" max="4864" width="9.140625" style="116"/>
    <col min="4865" max="4873" width="3.7109375" style="116" customWidth="1"/>
    <col min="4874" max="4877" width="3.42578125" style="116" customWidth="1"/>
    <col min="4878" max="4878" width="3.7109375" style="116" customWidth="1"/>
    <col min="4879" max="4885" width="3.42578125" style="116" customWidth="1"/>
    <col min="4886" max="4886" width="3.7109375" style="116" customWidth="1"/>
    <col min="4887" max="4892" width="3.42578125" style="116" customWidth="1"/>
    <col min="4893" max="4895" width="3.7109375" style="116" customWidth="1"/>
    <col min="4896" max="5120" width="9.140625" style="116"/>
    <col min="5121" max="5129" width="3.7109375" style="116" customWidth="1"/>
    <col min="5130" max="5133" width="3.42578125" style="116" customWidth="1"/>
    <col min="5134" max="5134" width="3.7109375" style="116" customWidth="1"/>
    <col min="5135" max="5141" width="3.42578125" style="116" customWidth="1"/>
    <col min="5142" max="5142" width="3.7109375" style="116" customWidth="1"/>
    <col min="5143" max="5148" width="3.42578125" style="116" customWidth="1"/>
    <col min="5149" max="5151" width="3.7109375" style="116" customWidth="1"/>
    <col min="5152" max="5376" width="9.140625" style="116"/>
    <col min="5377" max="5385" width="3.7109375" style="116" customWidth="1"/>
    <col min="5386" max="5389" width="3.42578125" style="116" customWidth="1"/>
    <col min="5390" max="5390" width="3.7109375" style="116" customWidth="1"/>
    <col min="5391" max="5397" width="3.42578125" style="116" customWidth="1"/>
    <col min="5398" max="5398" width="3.7109375" style="116" customWidth="1"/>
    <col min="5399" max="5404" width="3.42578125" style="116" customWidth="1"/>
    <col min="5405" max="5407" width="3.7109375" style="116" customWidth="1"/>
    <col min="5408" max="5632" width="9.140625" style="116"/>
    <col min="5633" max="5641" width="3.7109375" style="116" customWidth="1"/>
    <col min="5642" max="5645" width="3.42578125" style="116" customWidth="1"/>
    <col min="5646" max="5646" width="3.7109375" style="116" customWidth="1"/>
    <col min="5647" max="5653" width="3.42578125" style="116" customWidth="1"/>
    <col min="5654" max="5654" width="3.7109375" style="116" customWidth="1"/>
    <col min="5655" max="5660" width="3.42578125" style="116" customWidth="1"/>
    <col min="5661" max="5663" width="3.7109375" style="116" customWidth="1"/>
    <col min="5664" max="5888" width="9.140625" style="116"/>
    <col min="5889" max="5897" width="3.7109375" style="116" customWidth="1"/>
    <col min="5898" max="5901" width="3.42578125" style="116" customWidth="1"/>
    <col min="5902" max="5902" width="3.7109375" style="116" customWidth="1"/>
    <col min="5903" max="5909" width="3.42578125" style="116" customWidth="1"/>
    <col min="5910" max="5910" width="3.7109375" style="116" customWidth="1"/>
    <col min="5911" max="5916" width="3.42578125" style="116" customWidth="1"/>
    <col min="5917" max="5919" width="3.7109375" style="116" customWidth="1"/>
    <col min="5920" max="6144" width="9.140625" style="116"/>
    <col min="6145" max="6153" width="3.7109375" style="116" customWidth="1"/>
    <col min="6154" max="6157" width="3.42578125" style="116" customWidth="1"/>
    <col min="6158" max="6158" width="3.7109375" style="116" customWidth="1"/>
    <col min="6159" max="6165" width="3.42578125" style="116" customWidth="1"/>
    <col min="6166" max="6166" width="3.7109375" style="116" customWidth="1"/>
    <col min="6167" max="6172" width="3.42578125" style="116" customWidth="1"/>
    <col min="6173" max="6175" width="3.7109375" style="116" customWidth="1"/>
    <col min="6176" max="6400" width="9.140625" style="116"/>
    <col min="6401" max="6409" width="3.7109375" style="116" customWidth="1"/>
    <col min="6410" max="6413" width="3.42578125" style="116" customWidth="1"/>
    <col min="6414" max="6414" width="3.7109375" style="116" customWidth="1"/>
    <col min="6415" max="6421" width="3.42578125" style="116" customWidth="1"/>
    <col min="6422" max="6422" width="3.7109375" style="116" customWidth="1"/>
    <col min="6423" max="6428" width="3.42578125" style="116" customWidth="1"/>
    <col min="6429" max="6431" width="3.7109375" style="116" customWidth="1"/>
    <col min="6432" max="6656" width="9.140625" style="116"/>
    <col min="6657" max="6665" width="3.7109375" style="116" customWidth="1"/>
    <col min="6666" max="6669" width="3.42578125" style="116" customWidth="1"/>
    <col min="6670" max="6670" width="3.7109375" style="116" customWidth="1"/>
    <col min="6671" max="6677" width="3.42578125" style="116" customWidth="1"/>
    <col min="6678" max="6678" width="3.7109375" style="116" customWidth="1"/>
    <col min="6679" max="6684" width="3.42578125" style="116" customWidth="1"/>
    <col min="6685" max="6687" width="3.7109375" style="116" customWidth="1"/>
    <col min="6688" max="6912" width="9.140625" style="116"/>
    <col min="6913" max="6921" width="3.7109375" style="116" customWidth="1"/>
    <col min="6922" max="6925" width="3.42578125" style="116" customWidth="1"/>
    <col min="6926" max="6926" width="3.7109375" style="116" customWidth="1"/>
    <col min="6927" max="6933" width="3.42578125" style="116" customWidth="1"/>
    <col min="6934" max="6934" width="3.7109375" style="116" customWidth="1"/>
    <col min="6935" max="6940" width="3.42578125" style="116" customWidth="1"/>
    <col min="6941" max="6943" width="3.7109375" style="116" customWidth="1"/>
    <col min="6944" max="7168" width="9.140625" style="116"/>
    <col min="7169" max="7177" width="3.7109375" style="116" customWidth="1"/>
    <col min="7178" max="7181" width="3.42578125" style="116" customWidth="1"/>
    <col min="7182" max="7182" width="3.7109375" style="116" customWidth="1"/>
    <col min="7183" max="7189" width="3.42578125" style="116" customWidth="1"/>
    <col min="7190" max="7190" width="3.7109375" style="116" customWidth="1"/>
    <col min="7191" max="7196" width="3.42578125" style="116" customWidth="1"/>
    <col min="7197" max="7199" width="3.7109375" style="116" customWidth="1"/>
    <col min="7200" max="7424" width="9.140625" style="116"/>
    <col min="7425" max="7433" width="3.7109375" style="116" customWidth="1"/>
    <col min="7434" max="7437" width="3.42578125" style="116" customWidth="1"/>
    <col min="7438" max="7438" width="3.7109375" style="116" customWidth="1"/>
    <col min="7439" max="7445" width="3.42578125" style="116" customWidth="1"/>
    <col min="7446" max="7446" width="3.7109375" style="116" customWidth="1"/>
    <col min="7447" max="7452" width="3.42578125" style="116" customWidth="1"/>
    <col min="7453" max="7455" width="3.7109375" style="116" customWidth="1"/>
    <col min="7456" max="7680" width="9.140625" style="116"/>
    <col min="7681" max="7689" width="3.7109375" style="116" customWidth="1"/>
    <col min="7690" max="7693" width="3.42578125" style="116" customWidth="1"/>
    <col min="7694" max="7694" width="3.7109375" style="116" customWidth="1"/>
    <col min="7695" max="7701" width="3.42578125" style="116" customWidth="1"/>
    <col min="7702" max="7702" width="3.7109375" style="116" customWidth="1"/>
    <col min="7703" max="7708" width="3.42578125" style="116" customWidth="1"/>
    <col min="7709" max="7711" width="3.7109375" style="116" customWidth="1"/>
    <col min="7712" max="7936" width="9.140625" style="116"/>
    <col min="7937" max="7945" width="3.7109375" style="116" customWidth="1"/>
    <col min="7946" max="7949" width="3.42578125" style="116" customWidth="1"/>
    <col min="7950" max="7950" width="3.7109375" style="116" customWidth="1"/>
    <col min="7951" max="7957" width="3.42578125" style="116" customWidth="1"/>
    <col min="7958" max="7958" width="3.7109375" style="116" customWidth="1"/>
    <col min="7959" max="7964" width="3.42578125" style="116" customWidth="1"/>
    <col min="7965" max="7967" width="3.7109375" style="116" customWidth="1"/>
    <col min="7968" max="8192" width="9.140625" style="116"/>
    <col min="8193" max="8201" width="3.7109375" style="116" customWidth="1"/>
    <col min="8202" max="8205" width="3.42578125" style="116" customWidth="1"/>
    <col min="8206" max="8206" width="3.7109375" style="116" customWidth="1"/>
    <col min="8207" max="8213" width="3.42578125" style="116" customWidth="1"/>
    <col min="8214" max="8214" width="3.7109375" style="116" customWidth="1"/>
    <col min="8215" max="8220" width="3.42578125" style="116" customWidth="1"/>
    <col min="8221" max="8223" width="3.7109375" style="116" customWidth="1"/>
    <col min="8224" max="8448" width="9.140625" style="116"/>
    <col min="8449" max="8457" width="3.7109375" style="116" customWidth="1"/>
    <col min="8458" max="8461" width="3.42578125" style="116" customWidth="1"/>
    <col min="8462" max="8462" width="3.7109375" style="116" customWidth="1"/>
    <col min="8463" max="8469" width="3.42578125" style="116" customWidth="1"/>
    <col min="8470" max="8470" width="3.7109375" style="116" customWidth="1"/>
    <col min="8471" max="8476" width="3.42578125" style="116" customWidth="1"/>
    <col min="8477" max="8479" width="3.7109375" style="116" customWidth="1"/>
    <col min="8480" max="8704" width="9.140625" style="116"/>
    <col min="8705" max="8713" width="3.7109375" style="116" customWidth="1"/>
    <col min="8714" max="8717" width="3.42578125" style="116" customWidth="1"/>
    <col min="8718" max="8718" width="3.7109375" style="116" customWidth="1"/>
    <col min="8719" max="8725" width="3.42578125" style="116" customWidth="1"/>
    <col min="8726" max="8726" width="3.7109375" style="116" customWidth="1"/>
    <col min="8727" max="8732" width="3.42578125" style="116" customWidth="1"/>
    <col min="8733" max="8735" width="3.7109375" style="116" customWidth="1"/>
    <col min="8736" max="8960" width="9.140625" style="116"/>
    <col min="8961" max="8969" width="3.7109375" style="116" customWidth="1"/>
    <col min="8970" max="8973" width="3.42578125" style="116" customWidth="1"/>
    <col min="8974" max="8974" width="3.7109375" style="116" customWidth="1"/>
    <col min="8975" max="8981" width="3.42578125" style="116" customWidth="1"/>
    <col min="8982" max="8982" width="3.7109375" style="116" customWidth="1"/>
    <col min="8983" max="8988" width="3.42578125" style="116" customWidth="1"/>
    <col min="8989" max="8991" width="3.7109375" style="116" customWidth="1"/>
    <col min="8992" max="9216" width="9.140625" style="116"/>
    <col min="9217" max="9225" width="3.7109375" style="116" customWidth="1"/>
    <col min="9226" max="9229" width="3.42578125" style="116" customWidth="1"/>
    <col min="9230" max="9230" width="3.7109375" style="116" customWidth="1"/>
    <col min="9231" max="9237" width="3.42578125" style="116" customWidth="1"/>
    <col min="9238" max="9238" width="3.7109375" style="116" customWidth="1"/>
    <col min="9239" max="9244" width="3.42578125" style="116" customWidth="1"/>
    <col min="9245" max="9247" width="3.7109375" style="116" customWidth="1"/>
    <col min="9248" max="9472" width="9.140625" style="116"/>
    <col min="9473" max="9481" width="3.7109375" style="116" customWidth="1"/>
    <col min="9482" max="9485" width="3.42578125" style="116" customWidth="1"/>
    <col min="9486" max="9486" width="3.7109375" style="116" customWidth="1"/>
    <col min="9487" max="9493" width="3.42578125" style="116" customWidth="1"/>
    <col min="9494" max="9494" width="3.7109375" style="116" customWidth="1"/>
    <col min="9495" max="9500" width="3.42578125" style="116" customWidth="1"/>
    <col min="9501" max="9503" width="3.7109375" style="116" customWidth="1"/>
    <col min="9504" max="9728" width="9.140625" style="116"/>
    <col min="9729" max="9737" width="3.7109375" style="116" customWidth="1"/>
    <col min="9738" max="9741" width="3.42578125" style="116" customWidth="1"/>
    <col min="9742" max="9742" width="3.7109375" style="116" customWidth="1"/>
    <col min="9743" max="9749" width="3.42578125" style="116" customWidth="1"/>
    <col min="9750" max="9750" width="3.7109375" style="116" customWidth="1"/>
    <col min="9751" max="9756" width="3.42578125" style="116" customWidth="1"/>
    <col min="9757" max="9759" width="3.7109375" style="116" customWidth="1"/>
    <col min="9760" max="9984" width="9.140625" style="116"/>
    <col min="9985" max="9993" width="3.7109375" style="116" customWidth="1"/>
    <col min="9994" max="9997" width="3.42578125" style="116" customWidth="1"/>
    <col min="9998" max="9998" width="3.7109375" style="116" customWidth="1"/>
    <col min="9999" max="10005" width="3.42578125" style="116" customWidth="1"/>
    <col min="10006" max="10006" width="3.7109375" style="116" customWidth="1"/>
    <col min="10007" max="10012" width="3.42578125" style="116" customWidth="1"/>
    <col min="10013" max="10015" width="3.7109375" style="116" customWidth="1"/>
    <col min="10016" max="10240" width="9.140625" style="116"/>
    <col min="10241" max="10249" width="3.7109375" style="116" customWidth="1"/>
    <col min="10250" max="10253" width="3.42578125" style="116" customWidth="1"/>
    <col min="10254" max="10254" width="3.7109375" style="116" customWidth="1"/>
    <col min="10255" max="10261" width="3.42578125" style="116" customWidth="1"/>
    <col min="10262" max="10262" width="3.7109375" style="116" customWidth="1"/>
    <col min="10263" max="10268" width="3.42578125" style="116" customWidth="1"/>
    <col min="10269" max="10271" width="3.7109375" style="116" customWidth="1"/>
    <col min="10272" max="10496" width="9.140625" style="116"/>
    <col min="10497" max="10505" width="3.7109375" style="116" customWidth="1"/>
    <col min="10506" max="10509" width="3.42578125" style="116" customWidth="1"/>
    <col min="10510" max="10510" width="3.7109375" style="116" customWidth="1"/>
    <col min="10511" max="10517" width="3.42578125" style="116" customWidth="1"/>
    <col min="10518" max="10518" width="3.7109375" style="116" customWidth="1"/>
    <col min="10519" max="10524" width="3.42578125" style="116" customWidth="1"/>
    <col min="10525" max="10527" width="3.7109375" style="116" customWidth="1"/>
    <col min="10528" max="10752" width="9.140625" style="116"/>
    <col min="10753" max="10761" width="3.7109375" style="116" customWidth="1"/>
    <col min="10762" max="10765" width="3.42578125" style="116" customWidth="1"/>
    <col min="10766" max="10766" width="3.7109375" style="116" customWidth="1"/>
    <col min="10767" max="10773" width="3.42578125" style="116" customWidth="1"/>
    <col min="10774" max="10774" width="3.7109375" style="116" customWidth="1"/>
    <col min="10775" max="10780" width="3.42578125" style="116" customWidth="1"/>
    <col min="10781" max="10783" width="3.7109375" style="116" customWidth="1"/>
    <col min="10784" max="11008" width="9.140625" style="116"/>
    <col min="11009" max="11017" width="3.7109375" style="116" customWidth="1"/>
    <col min="11018" max="11021" width="3.42578125" style="116" customWidth="1"/>
    <col min="11022" max="11022" width="3.7109375" style="116" customWidth="1"/>
    <col min="11023" max="11029" width="3.42578125" style="116" customWidth="1"/>
    <col min="11030" max="11030" width="3.7109375" style="116" customWidth="1"/>
    <col min="11031" max="11036" width="3.42578125" style="116" customWidth="1"/>
    <col min="11037" max="11039" width="3.7109375" style="116" customWidth="1"/>
    <col min="11040" max="11264" width="9.140625" style="116"/>
    <col min="11265" max="11273" width="3.7109375" style="116" customWidth="1"/>
    <col min="11274" max="11277" width="3.42578125" style="116" customWidth="1"/>
    <col min="11278" max="11278" width="3.7109375" style="116" customWidth="1"/>
    <col min="11279" max="11285" width="3.42578125" style="116" customWidth="1"/>
    <col min="11286" max="11286" width="3.7109375" style="116" customWidth="1"/>
    <col min="11287" max="11292" width="3.42578125" style="116" customWidth="1"/>
    <col min="11293" max="11295" width="3.7109375" style="116" customWidth="1"/>
    <col min="11296" max="11520" width="9.140625" style="116"/>
    <col min="11521" max="11529" width="3.7109375" style="116" customWidth="1"/>
    <col min="11530" max="11533" width="3.42578125" style="116" customWidth="1"/>
    <col min="11534" max="11534" width="3.7109375" style="116" customWidth="1"/>
    <col min="11535" max="11541" width="3.42578125" style="116" customWidth="1"/>
    <col min="11542" max="11542" width="3.7109375" style="116" customWidth="1"/>
    <col min="11543" max="11548" width="3.42578125" style="116" customWidth="1"/>
    <col min="11549" max="11551" width="3.7109375" style="116" customWidth="1"/>
    <col min="11552" max="11776" width="9.140625" style="116"/>
    <col min="11777" max="11785" width="3.7109375" style="116" customWidth="1"/>
    <col min="11786" max="11789" width="3.42578125" style="116" customWidth="1"/>
    <col min="11790" max="11790" width="3.7109375" style="116" customWidth="1"/>
    <col min="11791" max="11797" width="3.42578125" style="116" customWidth="1"/>
    <col min="11798" max="11798" width="3.7109375" style="116" customWidth="1"/>
    <col min="11799" max="11804" width="3.42578125" style="116" customWidth="1"/>
    <col min="11805" max="11807" width="3.7109375" style="116" customWidth="1"/>
    <col min="11808" max="12032" width="9.140625" style="116"/>
    <col min="12033" max="12041" width="3.7109375" style="116" customWidth="1"/>
    <col min="12042" max="12045" width="3.42578125" style="116" customWidth="1"/>
    <col min="12046" max="12046" width="3.7109375" style="116" customWidth="1"/>
    <col min="12047" max="12053" width="3.42578125" style="116" customWidth="1"/>
    <col min="12054" max="12054" width="3.7109375" style="116" customWidth="1"/>
    <col min="12055" max="12060" width="3.42578125" style="116" customWidth="1"/>
    <col min="12061" max="12063" width="3.7109375" style="116" customWidth="1"/>
    <col min="12064" max="12288" width="9.140625" style="116"/>
    <col min="12289" max="12297" width="3.7109375" style="116" customWidth="1"/>
    <col min="12298" max="12301" width="3.42578125" style="116" customWidth="1"/>
    <col min="12302" max="12302" width="3.7109375" style="116" customWidth="1"/>
    <col min="12303" max="12309" width="3.42578125" style="116" customWidth="1"/>
    <col min="12310" max="12310" width="3.7109375" style="116" customWidth="1"/>
    <col min="12311" max="12316" width="3.42578125" style="116" customWidth="1"/>
    <col min="12317" max="12319" width="3.7109375" style="116" customWidth="1"/>
    <col min="12320" max="12544" width="9.140625" style="116"/>
    <col min="12545" max="12553" width="3.7109375" style="116" customWidth="1"/>
    <col min="12554" max="12557" width="3.42578125" style="116" customWidth="1"/>
    <col min="12558" max="12558" width="3.7109375" style="116" customWidth="1"/>
    <col min="12559" max="12565" width="3.42578125" style="116" customWidth="1"/>
    <col min="12566" max="12566" width="3.7109375" style="116" customWidth="1"/>
    <col min="12567" max="12572" width="3.42578125" style="116" customWidth="1"/>
    <col min="12573" max="12575" width="3.7109375" style="116" customWidth="1"/>
    <col min="12576" max="12800" width="9.140625" style="116"/>
    <col min="12801" max="12809" width="3.7109375" style="116" customWidth="1"/>
    <col min="12810" max="12813" width="3.42578125" style="116" customWidth="1"/>
    <col min="12814" max="12814" width="3.7109375" style="116" customWidth="1"/>
    <col min="12815" max="12821" width="3.42578125" style="116" customWidth="1"/>
    <col min="12822" max="12822" width="3.7109375" style="116" customWidth="1"/>
    <col min="12823" max="12828" width="3.42578125" style="116" customWidth="1"/>
    <col min="12829" max="12831" width="3.7109375" style="116" customWidth="1"/>
    <col min="12832" max="13056" width="9.140625" style="116"/>
    <col min="13057" max="13065" width="3.7109375" style="116" customWidth="1"/>
    <col min="13066" max="13069" width="3.42578125" style="116" customWidth="1"/>
    <col min="13070" max="13070" width="3.7109375" style="116" customWidth="1"/>
    <col min="13071" max="13077" width="3.42578125" style="116" customWidth="1"/>
    <col min="13078" max="13078" width="3.7109375" style="116" customWidth="1"/>
    <col min="13079" max="13084" width="3.42578125" style="116" customWidth="1"/>
    <col min="13085" max="13087" width="3.7109375" style="116" customWidth="1"/>
    <col min="13088" max="13312" width="9.140625" style="116"/>
    <col min="13313" max="13321" width="3.7109375" style="116" customWidth="1"/>
    <col min="13322" max="13325" width="3.42578125" style="116" customWidth="1"/>
    <col min="13326" max="13326" width="3.7109375" style="116" customWidth="1"/>
    <col min="13327" max="13333" width="3.42578125" style="116" customWidth="1"/>
    <col min="13334" max="13334" width="3.7109375" style="116" customWidth="1"/>
    <col min="13335" max="13340" width="3.42578125" style="116" customWidth="1"/>
    <col min="13341" max="13343" width="3.7109375" style="116" customWidth="1"/>
    <col min="13344" max="13568" width="9.140625" style="116"/>
    <col min="13569" max="13577" width="3.7109375" style="116" customWidth="1"/>
    <col min="13578" max="13581" width="3.42578125" style="116" customWidth="1"/>
    <col min="13582" max="13582" width="3.7109375" style="116" customWidth="1"/>
    <col min="13583" max="13589" width="3.42578125" style="116" customWidth="1"/>
    <col min="13590" max="13590" width="3.7109375" style="116" customWidth="1"/>
    <col min="13591" max="13596" width="3.42578125" style="116" customWidth="1"/>
    <col min="13597" max="13599" width="3.7109375" style="116" customWidth="1"/>
    <col min="13600" max="13824" width="9.140625" style="116"/>
    <col min="13825" max="13833" width="3.7109375" style="116" customWidth="1"/>
    <col min="13834" max="13837" width="3.42578125" style="116" customWidth="1"/>
    <col min="13838" max="13838" width="3.7109375" style="116" customWidth="1"/>
    <col min="13839" max="13845" width="3.42578125" style="116" customWidth="1"/>
    <col min="13846" max="13846" width="3.7109375" style="116" customWidth="1"/>
    <col min="13847" max="13852" width="3.42578125" style="116" customWidth="1"/>
    <col min="13853" max="13855" width="3.7109375" style="116" customWidth="1"/>
    <col min="13856" max="14080" width="9.140625" style="116"/>
    <col min="14081" max="14089" width="3.7109375" style="116" customWidth="1"/>
    <col min="14090" max="14093" width="3.42578125" style="116" customWidth="1"/>
    <col min="14094" max="14094" width="3.7109375" style="116" customWidth="1"/>
    <col min="14095" max="14101" width="3.42578125" style="116" customWidth="1"/>
    <col min="14102" max="14102" width="3.7109375" style="116" customWidth="1"/>
    <col min="14103" max="14108" width="3.42578125" style="116" customWidth="1"/>
    <col min="14109" max="14111" width="3.7109375" style="116" customWidth="1"/>
    <col min="14112" max="14336" width="9.140625" style="116"/>
    <col min="14337" max="14345" width="3.7109375" style="116" customWidth="1"/>
    <col min="14346" max="14349" width="3.42578125" style="116" customWidth="1"/>
    <col min="14350" max="14350" width="3.7109375" style="116" customWidth="1"/>
    <col min="14351" max="14357" width="3.42578125" style="116" customWidth="1"/>
    <col min="14358" max="14358" width="3.7109375" style="116" customWidth="1"/>
    <col min="14359" max="14364" width="3.42578125" style="116" customWidth="1"/>
    <col min="14365" max="14367" width="3.7109375" style="116" customWidth="1"/>
    <col min="14368" max="14592" width="9.140625" style="116"/>
    <col min="14593" max="14601" width="3.7109375" style="116" customWidth="1"/>
    <col min="14602" max="14605" width="3.42578125" style="116" customWidth="1"/>
    <col min="14606" max="14606" width="3.7109375" style="116" customWidth="1"/>
    <col min="14607" max="14613" width="3.42578125" style="116" customWidth="1"/>
    <col min="14614" max="14614" width="3.7109375" style="116" customWidth="1"/>
    <col min="14615" max="14620" width="3.42578125" style="116" customWidth="1"/>
    <col min="14621" max="14623" width="3.7109375" style="116" customWidth="1"/>
    <col min="14624" max="14848" width="9.140625" style="116"/>
    <col min="14849" max="14857" width="3.7109375" style="116" customWidth="1"/>
    <col min="14858" max="14861" width="3.42578125" style="116" customWidth="1"/>
    <col min="14862" max="14862" width="3.7109375" style="116" customWidth="1"/>
    <col min="14863" max="14869" width="3.42578125" style="116" customWidth="1"/>
    <col min="14870" max="14870" width="3.7109375" style="116" customWidth="1"/>
    <col min="14871" max="14876" width="3.42578125" style="116" customWidth="1"/>
    <col min="14877" max="14879" width="3.7109375" style="116" customWidth="1"/>
    <col min="14880" max="15104" width="9.140625" style="116"/>
    <col min="15105" max="15113" width="3.7109375" style="116" customWidth="1"/>
    <col min="15114" max="15117" width="3.42578125" style="116" customWidth="1"/>
    <col min="15118" max="15118" width="3.7109375" style="116" customWidth="1"/>
    <col min="15119" max="15125" width="3.42578125" style="116" customWidth="1"/>
    <col min="15126" max="15126" width="3.7109375" style="116" customWidth="1"/>
    <col min="15127" max="15132" width="3.42578125" style="116" customWidth="1"/>
    <col min="15133" max="15135" width="3.7109375" style="116" customWidth="1"/>
    <col min="15136" max="15360" width="9.140625" style="116"/>
    <col min="15361" max="15369" width="3.7109375" style="116" customWidth="1"/>
    <col min="15370" max="15373" width="3.42578125" style="116" customWidth="1"/>
    <col min="15374" max="15374" width="3.7109375" style="116" customWidth="1"/>
    <col min="15375" max="15381" width="3.42578125" style="116" customWidth="1"/>
    <col min="15382" max="15382" width="3.7109375" style="116" customWidth="1"/>
    <col min="15383" max="15388" width="3.42578125" style="116" customWidth="1"/>
    <col min="15389" max="15391" width="3.7109375" style="116" customWidth="1"/>
    <col min="15392" max="15616" width="9.140625" style="116"/>
    <col min="15617" max="15625" width="3.7109375" style="116" customWidth="1"/>
    <col min="15626" max="15629" width="3.42578125" style="116" customWidth="1"/>
    <col min="15630" max="15630" width="3.7109375" style="116" customWidth="1"/>
    <col min="15631" max="15637" width="3.42578125" style="116" customWidth="1"/>
    <col min="15638" max="15638" width="3.7109375" style="116" customWidth="1"/>
    <col min="15639" max="15644" width="3.42578125" style="116" customWidth="1"/>
    <col min="15645" max="15647" width="3.7109375" style="116" customWidth="1"/>
    <col min="15648" max="15872" width="9.140625" style="116"/>
    <col min="15873" max="15881" width="3.7109375" style="116" customWidth="1"/>
    <col min="15882" max="15885" width="3.42578125" style="116" customWidth="1"/>
    <col min="15886" max="15886" width="3.7109375" style="116" customWidth="1"/>
    <col min="15887" max="15893" width="3.42578125" style="116" customWidth="1"/>
    <col min="15894" max="15894" width="3.7109375" style="116" customWidth="1"/>
    <col min="15895" max="15900" width="3.42578125" style="116" customWidth="1"/>
    <col min="15901" max="15903" width="3.7109375" style="116" customWidth="1"/>
    <col min="15904" max="16128" width="9.140625" style="116"/>
    <col min="16129" max="16137" width="3.7109375" style="116" customWidth="1"/>
    <col min="16138" max="16141" width="3.42578125" style="116" customWidth="1"/>
    <col min="16142" max="16142" width="3.7109375" style="116" customWidth="1"/>
    <col min="16143" max="16149" width="3.42578125" style="116" customWidth="1"/>
    <col min="16150" max="16150" width="3.7109375" style="116" customWidth="1"/>
    <col min="16151" max="16156" width="3.42578125" style="116" customWidth="1"/>
    <col min="16157" max="16159" width="3.7109375" style="116" customWidth="1"/>
    <col min="16160" max="16384" width="9.140625" style="116"/>
  </cols>
  <sheetData>
    <row r="1" spans="1:27" ht="13.5" customHeight="1"/>
    <row r="2" spans="1:27" ht="14.1" customHeight="1"/>
    <row r="3" spans="1:27" ht="35.450000000000003" customHeight="1">
      <c r="A3" s="409" t="s">
        <v>104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</row>
    <row r="4" spans="1:27" s="118" customFormat="1" ht="20.100000000000001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5" spans="1:27" s="118" customFormat="1" ht="24" customHeight="1">
      <c r="A5" s="119"/>
      <c r="B5" s="119"/>
      <c r="C5" s="288" t="s">
        <v>105</v>
      </c>
      <c r="D5" s="288"/>
      <c r="E5" s="289"/>
      <c r="F5" s="288"/>
      <c r="G5" s="289"/>
      <c r="H5" s="289"/>
      <c r="I5" s="290" t="s">
        <v>55</v>
      </c>
      <c r="J5" s="291" t="str">
        <f>'Data Record'!Q1</f>
        <v>SPR16010012-1</v>
      </c>
      <c r="K5" s="292"/>
      <c r="L5" s="292"/>
      <c r="M5" s="291"/>
      <c r="N5" s="291"/>
      <c r="O5" s="291"/>
      <c r="P5" s="291"/>
      <c r="Q5" s="291"/>
      <c r="R5" s="292"/>
      <c r="S5" s="292"/>
      <c r="T5" s="292"/>
      <c r="U5" s="292"/>
      <c r="V5" s="292"/>
      <c r="W5" s="292"/>
      <c r="Y5" s="293" t="s">
        <v>193</v>
      </c>
    </row>
    <row r="6" spans="1:27" s="118" customFormat="1" ht="24" customHeight="1">
      <c r="A6" s="119"/>
      <c r="B6" s="119"/>
      <c r="C6" s="289"/>
      <c r="D6" s="289"/>
      <c r="E6" s="289"/>
      <c r="F6" s="288"/>
      <c r="G6" s="294"/>
      <c r="H6" s="294"/>
      <c r="I6" s="288"/>
      <c r="J6" s="291"/>
      <c r="K6" s="292"/>
      <c r="L6" s="292"/>
      <c r="M6" s="291"/>
      <c r="N6" s="291"/>
      <c r="O6" s="291"/>
      <c r="P6" s="291"/>
      <c r="Q6" s="291"/>
      <c r="R6" s="292"/>
      <c r="S6" s="292"/>
      <c r="T6" s="292"/>
      <c r="U6" s="292"/>
      <c r="V6" s="292"/>
      <c r="W6" s="292"/>
      <c r="X6" s="292"/>
    </row>
    <row r="7" spans="1:27" s="118" customFormat="1" ht="24" customHeight="1">
      <c r="A7" s="119"/>
      <c r="B7" s="119"/>
      <c r="C7" s="295" t="s">
        <v>106</v>
      </c>
      <c r="D7" s="295"/>
      <c r="E7" s="289"/>
      <c r="F7" s="289"/>
      <c r="G7" s="289"/>
      <c r="H7" s="289"/>
      <c r="I7" s="290" t="s">
        <v>55</v>
      </c>
      <c r="J7" s="296"/>
      <c r="K7" s="292"/>
      <c r="L7" s="292"/>
      <c r="M7" s="297"/>
      <c r="N7" s="297"/>
      <c r="O7" s="297"/>
      <c r="P7" s="297"/>
      <c r="Q7" s="297"/>
      <c r="R7" s="297"/>
      <c r="S7" s="297"/>
      <c r="T7" s="297"/>
      <c r="U7" s="297"/>
      <c r="V7" s="298"/>
      <c r="W7" s="298"/>
      <c r="X7" s="298"/>
      <c r="Y7" s="134"/>
      <c r="Z7" s="134"/>
      <c r="AA7" s="134"/>
    </row>
    <row r="8" spans="1:27" s="118" customFormat="1" ht="24" customHeight="1">
      <c r="A8" s="119"/>
      <c r="B8" s="119"/>
      <c r="C8" s="289"/>
      <c r="D8" s="295"/>
      <c r="E8" s="295"/>
      <c r="F8" s="289"/>
      <c r="G8" s="289"/>
      <c r="H8" s="289"/>
      <c r="I8" s="290"/>
      <c r="J8" s="299"/>
      <c r="K8" s="292"/>
      <c r="L8" s="296"/>
      <c r="M8" s="300"/>
      <c r="N8" s="300"/>
      <c r="O8" s="297"/>
      <c r="P8" s="297"/>
      <c r="Q8" s="297"/>
      <c r="R8" s="297"/>
      <c r="S8" s="297"/>
      <c r="T8" s="297"/>
      <c r="U8" s="297"/>
      <c r="V8" s="297"/>
      <c r="W8" s="298"/>
      <c r="X8" s="298"/>
      <c r="Y8" s="133"/>
      <c r="Z8" s="133"/>
      <c r="AA8" s="133"/>
    </row>
    <row r="9" spans="1:27" s="118" customFormat="1" ht="24" customHeight="1">
      <c r="A9" s="119"/>
      <c r="B9" s="119"/>
      <c r="C9" s="127"/>
      <c r="D9" s="129"/>
      <c r="E9" s="129"/>
      <c r="F9" s="127"/>
      <c r="G9" s="127"/>
      <c r="H9" s="127"/>
      <c r="I9" s="127"/>
      <c r="J9" s="130"/>
      <c r="L9" s="130"/>
      <c r="M9" s="136"/>
      <c r="N9" s="136"/>
      <c r="O9" s="131"/>
      <c r="P9" s="131"/>
      <c r="Q9" s="131"/>
      <c r="R9" s="131"/>
      <c r="S9" s="131"/>
      <c r="T9" s="131"/>
      <c r="U9" s="131"/>
      <c r="V9" s="131"/>
      <c r="W9" s="132"/>
      <c r="X9" s="133"/>
      <c r="Y9" s="133"/>
      <c r="Z9" s="133"/>
      <c r="AA9" s="133"/>
    </row>
    <row r="10" spans="1:27" s="134" customFormat="1" ht="15" customHeight="1">
      <c r="A10" s="137"/>
      <c r="B10" s="137"/>
      <c r="C10" s="138"/>
      <c r="D10" s="138"/>
      <c r="E10" s="138"/>
      <c r="F10" s="138"/>
      <c r="G10" s="138"/>
      <c r="H10" s="301"/>
      <c r="I10" s="138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3"/>
      <c r="V10" s="143"/>
      <c r="W10" s="142"/>
      <c r="X10" s="302"/>
      <c r="Y10" s="303"/>
      <c r="Z10" s="145"/>
      <c r="AA10" s="145"/>
    </row>
    <row r="11" spans="1:27" s="118" customFormat="1" ht="15" customHeight="1">
      <c r="A11" s="119"/>
      <c r="B11" s="119"/>
      <c r="C11" s="129"/>
      <c r="D11" s="129"/>
      <c r="E11" s="129"/>
      <c r="F11" s="129"/>
      <c r="G11" s="129"/>
      <c r="H11" s="148"/>
      <c r="I11" s="304"/>
      <c r="J11" s="132"/>
      <c r="K11" s="136"/>
      <c r="L11" s="131"/>
      <c r="M11" s="131"/>
      <c r="N11" s="131"/>
      <c r="O11" s="131"/>
      <c r="P11" s="131"/>
      <c r="Q11" s="131"/>
      <c r="R11" s="131"/>
      <c r="S11" s="131"/>
      <c r="T11" s="131"/>
      <c r="U11" s="132"/>
      <c r="V11" s="132"/>
      <c r="W11" s="124"/>
      <c r="Y11" s="147"/>
      <c r="Z11" s="147"/>
      <c r="AA11" s="147"/>
    </row>
    <row r="12" spans="1:27" s="118" customFormat="1" ht="24" customHeight="1">
      <c r="A12" s="119"/>
      <c r="B12" s="119"/>
      <c r="C12" s="295" t="s">
        <v>107</v>
      </c>
      <c r="D12" s="129"/>
      <c r="E12" s="129"/>
      <c r="F12" s="129"/>
      <c r="G12" s="127"/>
      <c r="H12" s="127"/>
      <c r="I12" s="148" t="s">
        <v>55</v>
      </c>
      <c r="J12" s="296" t="str">
        <f>'Data Record'!G6</f>
        <v>Granite Surface Plate</v>
      </c>
      <c r="K12" s="292"/>
      <c r="L12" s="296"/>
      <c r="M12" s="125"/>
      <c r="N12" s="125"/>
      <c r="P12" s="125"/>
      <c r="Q12" s="130"/>
      <c r="R12" s="130"/>
      <c r="S12" s="130"/>
      <c r="T12" s="130"/>
      <c r="U12" s="130"/>
      <c r="V12" s="130"/>
      <c r="W12" s="130"/>
      <c r="X12" s="149"/>
      <c r="Y12" s="149"/>
      <c r="Z12" s="149"/>
      <c r="AA12" s="149"/>
    </row>
    <row r="13" spans="1:27" s="118" customFormat="1" ht="24" customHeight="1">
      <c r="A13" s="119"/>
      <c r="B13" s="119"/>
      <c r="C13" s="305" t="s">
        <v>108</v>
      </c>
      <c r="D13" s="129"/>
      <c r="E13" s="129"/>
      <c r="F13" s="129"/>
      <c r="G13" s="127"/>
      <c r="H13" s="127"/>
      <c r="I13" s="148" t="s">
        <v>55</v>
      </c>
      <c r="J13" s="296" t="str">
        <f>'Data Record'!U6</f>
        <v>Choten</v>
      </c>
      <c r="K13" s="292"/>
      <c r="L13" s="296"/>
      <c r="M13" s="125"/>
      <c r="N13" s="125"/>
      <c r="P13" s="125"/>
      <c r="Q13" s="130"/>
      <c r="R13" s="130"/>
      <c r="S13" s="125"/>
      <c r="T13" s="125"/>
      <c r="U13" s="125"/>
      <c r="V13" s="125"/>
      <c r="W13" s="125"/>
    </row>
    <row r="14" spans="1:27" s="118" customFormat="1" ht="24" customHeight="1">
      <c r="A14" s="119"/>
      <c r="B14" s="119"/>
      <c r="C14" s="295" t="s">
        <v>109</v>
      </c>
      <c r="D14" s="129"/>
      <c r="E14" s="129"/>
      <c r="F14" s="129"/>
      <c r="G14" s="127"/>
      <c r="H14" s="127"/>
      <c r="I14" s="148" t="s">
        <v>55</v>
      </c>
      <c r="J14" s="306" t="str">
        <f>'Data Record'!D7</f>
        <v>1000x2000</v>
      </c>
      <c r="K14" s="296"/>
      <c r="L14" s="296"/>
      <c r="M14" s="125"/>
      <c r="N14" s="125"/>
      <c r="P14" s="125"/>
      <c r="Q14" s="130"/>
      <c r="R14" s="130"/>
      <c r="S14" s="130"/>
      <c r="T14" s="130"/>
      <c r="U14" s="130"/>
      <c r="V14" s="129"/>
      <c r="W14" s="125"/>
      <c r="X14" s="149"/>
    </row>
    <row r="15" spans="1:27" s="118" customFormat="1" ht="24" customHeight="1">
      <c r="A15" s="119"/>
      <c r="B15" s="119"/>
      <c r="C15" s="295" t="s">
        <v>110</v>
      </c>
      <c r="D15" s="129"/>
      <c r="E15" s="129"/>
      <c r="F15" s="129"/>
      <c r="G15" s="127"/>
      <c r="H15" s="127"/>
      <c r="I15" s="148" t="s">
        <v>55</v>
      </c>
      <c r="J15" s="410" t="str">
        <f>'Data Record'!P7</f>
        <v>N21012065</v>
      </c>
      <c r="K15" s="410"/>
      <c r="L15" s="410"/>
      <c r="M15" s="307"/>
      <c r="N15" s="307"/>
      <c r="P15" s="125"/>
      <c r="Q15" s="125"/>
      <c r="R15" s="130"/>
      <c r="S15" s="125"/>
      <c r="T15" s="125"/>
      <c r="U15" s="125"/>
      <c r="V15" s="125"/>
      <c r="W15" s="125"/>
    </row>
    <row r="16" spans="1:27" s="118" customFormat="1" ht="24" customHeight="1">
      <c r="A16" s="119"/>
      <c r="B16" s="119"/>
      <c r="C16" s="295" t="s">
        <v>111</v>
      </c>
      <c r="D16" s="129"/>
      <c r="E16" s="129"/>
      <c r="F16" s="129"/>
      <c r="G16" s="127"/>
      <c r="H16" s="127"/>
      <c r="I16" s="148" t="s">
        <v>55</v>
      </c>
      <c r="J16" s="308" t="str">
        <f>'Data Record'!Z7</f>
        <v>AC-IQC-166</v>
      </c>
      <c r="K16" s="296"/>
      <c r="L16" s="309"/>
      <c r="M16" s="125"/>
      <c r="N16" s="125"/>
      <c r="P16" s="125"/>
      <c r="Q16" s="125"/>
      <c r="R16" s="130"/>
      <c r="S16" s="130"/>
      <c r="T16" s="130"/>
      <c r="U16" s="130"/>
      <c r="V16" s="151"/>
      <c r="W16" s="125"/>
      <c r="X16" s="149"/>
    </row>
    <row r="17" spans="1:36" s="118" customFormat="1" ht="18.95" customHeight="1">
      <c r="A17" s="119"/>
      <c r="B17" s="119"/>
      <c r="C17" s="129"/>
      <c r="D17" s="129"/>
      <c r="E17" s="129"/>
      <c r="F17" s="129"/>
      <c r="G17" s="127"/>
      <c r="H17" s="127"/>
      <c r="I17" s="151"/>
      <c r="J17" s="284"/>
      <c r="K17" s="125"/>
      <c r="L17" s="125"/>
      <c r="M17" s="130"/>
      <c r="N17" s="130"/>
      <c r="P17" s="125"/>
      <c r="Q17" s="130"/>
      <c r="R17" s="130"/>
      <c r="S17" s="130"/>
      <c r="T17" s="151"/>
      <c r="U17" s="125"/>
      <c r="V17" s="130"/>
      <c r="W17" s="125"/>
    </row>
    <row r="18" spans="1:36" s="118" customFormat="1" ht="24" customHeight="1">
      <c r="A18" s="119"/>
      <c r="B18" s="119"/>
      <c r="C18" s="295" t="s">
        <v>115</v>
      </c>
      <c r="D18" s="295"/>
      <c r="E18" s="129"/>
      <c r="F18" s="129"/>
      <c r="G18" s="129"/>
      <c r="H18" s="129"/>
      <c r="I18" s="285"/>
      <c r="J18" s="130"/>
      <c r="K18" s="130"/>
      <c r="L18" s="127"/>
      <c r="M18" s="310"/>
      <c r="N18" s="310"/>
      <c r="W18" s="125"/>
    </row>
    <row r="19" spans="1:36" s="118" customFormat="1" ht="24" customHeight="1">
      <c r="A19" s="119"/>
      <c r="B19" s="119"/>
      <c r="C19" s="295" t="s">
        <v>116</v>
      </c>
      <c r="D19" s="295"/>
      <c r="E19" s="129"/>
      <c r="F19" s="129"/>
      <c r="G19" s="127"/>
      <c r="H19" s="127"/>
      <c r="I19" s="123" t="s">
        <v>55</v>
      </c>
      <c r="J19" s="311" t="s">
        <v>194</v>
      </c>
      <c r="K19" s="292"/>
      <c r="L19" s="292"/>
      <c r="M19" s="310"/>
      <c r="O19" s="305" t="s">
        <v>112</v>
      </c>
      <c r="Q19" s="127"/>
      <c r="R19" s="186"/>
      <c r="S19" s="127"/>
      <c r="V19" s="148" t="s">
        <v>55</v>
      </c>
      <c r="W19" s="411">
        <f>'Data Record'!Q2</f>
        <v>42377</v>
      </c>
      <c r="X19" s="411"/>
      <c r="Y19" s="411"/>
      <c r="Z19" s="312"/>
      <c r="AA19" s="312"/>
    </row>
    <row r="20" spans="1:36" s="118" customFormat="1" ht="24" customHeight="1">
      <c r="A20" s="119"/>
      <c r="B20" s="119"/>
      <c r="C20" s="295" t="s">
        <v>117</v>
      </c>
      <c r="D20" s="288"/>
      <c r="E20" s="120"/>
      <c r="F20" s="120"/>
      <c r="G20" s="127"/>
      <c r="H20" s="127"/>
      <c r="I20" s="158" t="s">
        <v>55</v>
      </c>
      <c r="J20" s="313" t="s">
        <v>195</v>
      </c>
      <c r="K20" s="292"/>
      <c r="L20" s="292"/>
      <c r="M20" s="314"/>
      <c r="O20" s="305" t="s">
        <v>113</v>
      </c>
      <c r="Q20" s="127"/>
      <c r="R20" s="150"/>
      <c r="S20" s="127"/>
      <c r="V20" s="148" t="s">
        <v>55</v>
      </c>
      <c r="W20" s="411">
        <f>'Data Record'!AA2</f>
        <v>42382</v>
      </c>
      <c r="X20" s="411"/>
      <c r="Y20" s="411"/>
      <c r="Z20" s="312"/>
      <c r="AA20" s="312"/>
    </row>
    <row r="21" spans="1:36" s="118" customFormat="1" ht="24" customHeight="1">
      <c r="A21" s="119"/>
      <c r="B21" s="119"/>
      <c r="C21" s="295" t="s">
        <v>118</v>
      </c>
      <c r="D21" s="288"/>
      <c r="E21" s="120"/>
      <c r="F21" s="120"/>
      <c r="G21" s="127"/>
      <c r="H21" s="127"/>
      <c r="I21" s="158" t="s">
        <v>55</v>
      </c>
      <c r="J21" s="311" t="s">
        <v>119</v>
      </c>
      <c r="K21" s="292"/>
      <c r="L21" s="292"/>
      <c r="M21" s="130"/>
      <c r="O21" s="288" t="s">
        <v>114</v>
      </c>
      <c r="Q21" s="127"/>
      <c r="R21" s="120"/>
      <c r="S21" s="127"/>
      <c r="V21" s="148" t="s">
        <v>55</v>
      </c>
      <c r="W21" s="412">
        <f>W20+365</f>
        <v>42747</v>
      </c>
      <c r="X21" s="412"/>
      <c r="Y21" s="412"/>
      <c r="Z21" s="315"/>
      <c r="AA21" s="315"/>
    </row>
    <row r="22" spans="1:36" s="118" customFormat="1" ht="24" customHeight="1">
      <c r="A22" s="119"/>
      <c r="B22" s="119"/>
      <c r="C22" s="295" t="s">
        <v>196</v>
      </c>
      <c r="D22" s="292"/>
      <c r="I22" s="158" t="s">
        <v>55</v>
      </c>
      <c r="J22" s="292" t="s">
        <v>205</v>
      </c>
      <c r="K22" s="292"/>
      <c r="L22" s="292"/>
      <c r="M22" s="125"/>
      <c r="N22" s="125"/>
      <c r="P22" s="125"/>
      <c r="Q22" s="157"/>
      <c r="R22" s="157"/>
      <c r="S22" s="125"/>
      <c r="T22" s="125"/>
      <c r="U22" s="125"/>
      <c r="V22" s="125"/>
      <c r="W22" s="125"/>
    </row>
    <row r="23" spans="1:36" s="118" customFormat="1" ht="18.95" customHeight="1">
      <c r="A23" s="119"/>
      <c r="B23" s="119"/>
      <c r="M23" s="125"/>
      <c r="N23" s="125"/>
      <c r="P23" s="125"/>
      <c r="Q23" s="125"/>
      <c r="R23" s="125"/>
      <c r="S23" s="125"/>
      <c r="T23" s="125"/>
      <c r="U23" s="125"/>
      <c r="V23" s="125"/>
      <c r="W23" s="125"/>
    </row>
    <row r="24" spans="1:36" s="118" customFormat="1" ht="24" customHeight="1">
      <c r="A24" s="119"/>
      <c r="B24" s="119"/>
      <c r="C24" s="127" t="s">
        <v>120</v>
      </c>
      <c r="D24" s="161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285"/>
      <c r="W24" s="316"/>
      <c r="X24" s="163"/>
      <c r="Y24" s="164"/>
      <c r="Z24" s="164"/>
      <c r="AA24" s="164"/>
    </row>
    <row r="25" spans="1:36" s="118" customFormat="1" ht="24" customHeight="1">
      <c r="A25" s="119"/>
      <c r="B25" s="119"/>
      <c r="C25" s="165" t="s">
        <v>197</v>
      </c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19"/>
    </row>
    <row r="26" spans="1:36" s="118" customFormat="1" ht="24" customHeight="1">
      <c r="A26" s="119"/>
      <c r="B26" s="119"/>
      <c r="C26" s="165" t="s">
        <v>198</v>
      </c>
      <c r="D26" s="125"/>
      <c r="E26" s="119"/>
      <c r="F26" s="119"/>
      <c r="G26" s="119"/>
      <c r="H26" s="286"/>
      <c r="I26" s="286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19"/>
    </row>
    <row r="27" spans="1:36" s="118" customFormat="1" ht="24" customHeight="1">
      <c r="A27" s="119"/>
      <c r="B27" s="119"/>
      <c r="C27" s="165" t="s">
        <v>199</v>
      </c>
      <c r="D27" s="125"/>
      <c r="E27" s="286"/>
      <c r="F27" s="286"/>
      <c r="G27" s="286"/>
      <c r="H27" s="286"/>
      <c r="I27" s="286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19"/>
    </row>
    <row r="28" spans="1:36" s="118" customFormat="1" ht="24" customHeight="1">
      <c r="A28" s="119"/>
      <c r="B28" s="119"/>
      <c r="C28" s="165" t="s">
        <v>200</v>
      </c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19"/>
    </row>
    <row r="29" spans="1:36" s="118" customFormat="1" ht="24" customHeight="1">
      <c r="A29" s="119"/>
      <c r="B29" s="119"/>
      <c r="C29" s="165" t="s">
        <v>201</v>
      </c>
      <c r="D29" s="125"/>
    </row>
    <row r="30" spans="1:36" s="118" customFormat="1" ht="24" customHeight="1">
      <c r="A30" s="119"/>
      <c r="B30" s="119"/>
      <c r="C30" s="165" t="s">
        <v>202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19"/>
    </row>
    <row r="31" spans="1:36" s="118" customFormat="1" ht="15.95" customHeight="1">
      <c r="A31" s="119"/>
      <c r="B31" s="119"/>
      <c r="C31" s="169"/>
      <c r="D31" s="169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19"/>
      <c r="V31" s="119"/>
      <c r="AE31" s="317"/>
      <c r="AF31" s="170"/>
      <c r="AG31" s="12"/>
      <c r="AH31" s="12"/>
      <c r="AI31" s="12"/>
      <c r="AJ31" s="12"/>
    </row>
    <row r="32" spans="1:36" s="118" customFormat="1" ht="15.95" customHeight="1">
      <c r="A32" s="119"/>
      <c r="B32" s="119"/>
      <c r="C32" s="169"/>
      <c r="D32" s="169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19"/>
      <c r="V32" s="119"/>
      <c r="AE32" s="317"/>
      <c r="AF32" s="170"/>
      <c r="AG32" s="12"/>
      <c r="AH32" s="12"/>
      <c r="AI32" s="12"/>
      <c r="AJ32" s="12"/>
    </row>
    <row r="33" spans="1:36" s="118" customFormat="1" ht="15.95" customHeight="1">
      <c r="A33" s="119"/>
      <c r="B33" s="119"/>
      <c r="C33" s="169"/>
      <c r="D33" s="169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19"/>
      <c r="V33" s="119"/>
      <c r="AE33" s="317"/>
      <c r="AF33" s="170"/>
      <c r="AG33" s="12"/>
      <c r="AH33" s="12"/>
      <c r="AI33" s="12"/>
      <c r="AJ33" s="12"/>
    </row>
    <row r="34" spans="1:36" s="118" customFormat="1" ht="15.95" customHeight="1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AE34" s="317"/>
      <c r="AF34" s="170"/>
      <c r="AG34" s="12"/>
      <c r="AH34" s="12"/>
      <c r="AI34" s="12"/>
      <c r="AJ34" s="12"/>
    </row>
    <row r="35" spans="1:36" s="118" customFormat="1" ht="24" customHeight="1">
      <c r="A35" s="119"/>
      <c r="B35" s="119"/>
      <c r="C35" s="288" t="s">
        <v>203</v>
      </c>
      <c r="D35" s="292"/>
      <c r="E35" s="292"/>
      <c r="F35" s="292"/>
      <c r="G35" s="148" t="s">
        <v>55</v>
      </c>
      <c r="H35" s="413">
        <f>W20+1</f>
        <v>42383</v>
      </c>
      <c r="I35" s="413"/>
      <c r="J35" s="413"/>
      <c r="K35" s="318"/>
      <c r="L35" s="292"/>
      <c r="M35" s="292"/>
      <c r="N35" s="288"/>
      <c r="O35" s="288" t="s">
        <v>123</v>
      </c>
      <c r="P35" s="288"/>
      <c r="Q35" s="288"/>
      <c r="R35" s="292"/>
      <c r="S35" s="291"/>
      <c r="T35" s="319"/>
      <c r="U35" s="319"/>
      <c r="V35" s="319"/>
      <c r="W35" s="319"/>
      <c r="X35" s="319"/>
      <c r="Y35" s="320"/>
      <c r="AE35" s="317"/>
      <c r="AF35" s="170"/>
      <c r="AG35" s="12"/>
      <c r="AH35" s="12"/>
      <c r="AI35" s="12"/>
      <c r="AJ35" s="12"/>
    </row>
    <row r="36" spans="1:36" s="118" customFormat="1" ht="24" customHeight="1">
      <c r="A36" s="173"/>
      <c r="B36" s="173"/>
      <c r="C36" s="288" t="s">
        <v>204</v>
      </c>
      <c r="D36" s="288"/>
      <c r="E36" s="288"/>
      <c r="F36" s="292"/>
      <c r="G36" s="148" t="s">
        <v>55</v>
      </c>
      <c r="H36" s="321" t="str">
        <f>'Data Record'!H39</f>
        <v>Ms. Arunkamon Raramanus</v>
      </c>
      <c r="I36" s="292"/>
      <c r="J36" s="322"/>
      <c r="K36" s="292"/>
      <c r="L36" s="292"/>
      <c r="M36" s="292"/>
      <c r="N36" s="292"/>
      <c r="O36" s="292"/>
      <c r="P36" s="323"/>
      <c r="Q36" s="324">
        <v>3</v>
      </c>
      <c r="R36" s="292"/>
      <c r="S36" s="406" t="str">
        <f>IF(Q36=1,"( Mr.Sombut Srikampa )",IF(Q36=3,"( Mr. Natthaphol Boonmee )"))</f>
        <v>( Mr. Natthaphol Boonmee )</v>
      </c>
      <c r="T36" s="406"/>
      <c r="U36" s="406"/>
      <c r="V36" s="406"/>
      <c r="W36" s="406"/>
      <c r="X36" s="406"/>
      <c r="Y36" s="406"/>
      <c r="Z36" s="406"/>
      <c r="AA36" s="174"/>
      <c r="AE36" s="317"/>
      <c r="AF36" s="170"/>
      <c r="AG36" s="12"/>
      <c r="AH36" s="12"/>
      <c r="AI36" s="12"/>
      <c r="AJ36" s="12"/>
    </row>
    <row r="37" spans="1:36" s="118" customFormat="1" ht="21" customHeight="1">
      <c r="A37" s="119"/>
      <c r="B37" s="119"/>
      <c r="C37" s="292"/>
      <c r="D37" s="292"/>
      <c r="E37" s="292"/>
      <c r="F37" s="292"/>
      <c r="G37" s="292"/>
      <c r="H37" s="318"/>
      <c r="I37" s="318"/>
      <c r="J37" s="318"/>
      <c r="K37" s="292"/>
      <c r="L37" s="292"/>
      <c r="M37" s="291"/>
      <c r="N37" s="291"/>
      <c r="O37" s="292"/>
      <c r="P37" s="292"/>
      <c r="Q37" s="292"/>
      <c r="R37" s="292"/>
      <c r="S37" s="407" t="s">
        <v>124</v>
      </c>
      <c r="T37" s="407"/>
      <c r="U37" s="407"/>
      <c r="V37" s="407"/>
      <c r="W37" s="407"/>
      <c r="X37" s="407"/>
      <c r="Y37" s="407"/>
      <c r="Z37" s="407"/>
      <c r="AA37" s="174"/>
      <c r="AB37" s="167"/>
      <c r="AC37" s="325"/>
      <c r="AD37" s="326"/>
      <c r="AE37" s="327"/>
      <c r="AF37" s="327"/>
      <c r="AG37" s="327"/>
    </row>
    <row r="38" spans="1:36" s="118" customFormat="1" ht="20.100000000000001" customHeight="1">
      <c r="A38" s="119"/>
      <c r="B38" s="119"/>
      <c r="E38" s="124"/>
      <c r="F38" s="124"/>
      <c r="G38" s="124"/>
      <c r="H38" s="124"/>
      <c r="I38" s="124"/>
      <c r="L38" s="137"/>
      <c r="M38" s="119"/>
      <c r="N38" s="119"/>
      <c r="O38" s="119"/>
      <c r="P38" s="285"/>
      <c r="Q38" s="285"/>
      <c r="R38" s="285"/>
      <c r="S38" s="285"/>
      <c r="T38" s="285"/>
      <c r="U38" s="122"/>
      <c r="V38" s="174"/>
      <c r="W38" s="174"/>
      <c r="X38" s="174"/>
      <c r="Y38" s="174"/>
      <c r="Z38" s="174"/>
      <c r="AA38" s="174"/>
    </row>
    <row r="39" spans="1:36" s="118" customFormat="1" ht="16.5" customHeight="1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175"/>
    </row>
    <row r="40" spans="1:36" ht="18.75" customHeight="1">
      <c r="C40" s="287">
        <v>11</v>
      </c>
      <c r="D40" s="325" t="s">
        <v>125</v>
      </c>
      <c r="T40" s="167">
        <v>1</v>
      </c>
      <c r="U40" s="328" t="s">
        <v>121</v>
      </c>
    </row>
    <row r="41" spans="1:36" ht="18.75" customHeight="1">
      <c r="T41" s="171">
        <v>3</v>
      </c>
      <c r="U41" s="325" t="s">
        <v>122</v>
      </c>
    </row>
    <row r="42" spans="1:36" ht="18.75" customHeight="1">
      <c r="T42" s="171"/>
      <c r="U42" s="325"/>
    </row>
    <row r="43" spans="1:36" ht="18.75" customHeight="1">
      <c r="T43" s="287"/>
      <c r="U43" s="325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62"/>
  <sheetViews>
    <sheetView view="pageBreakPreview" zoomScaleNormal="100" zoomScaleSheetLayoutView="100" workbookViewId="0">
      <selection activeCell="A3" sqref="A3:V3"/>
    </sheetView>
  </sheetViews>
  <sheetFormatPr defaultColWidth="9.140625" defaultRowHeight="20.25"/>
  <cols>
    <col min="1" max="7" width="4.28515625" style="116" customWidth="1"/>
    <col min="8" max="8" width="3.42578125" style="116" customWidth="1"/>
    <col min="9" max="23" width="4.28515625" style="116" customWidth="1"/>
    <col min="24" max="29" width="4.5703125" style="116" customWidth="1"/>
    <col min="30" max="256" width="9.140625" style="116"/>
    <col min="257" max="263" width="4.28515625" style="116" customWidth="1"/>
    <col min="264" max="264" width="3.42578125" style="116" customWidth="1"/>
    <col min="265" max="279" width="4.28515625" style="116" customWidth="1"/>
    <col min="280" max="285" width="4.5703125" style="116" customWidth="1"/>
    <col min="286" max="512" width="9.140625" style="116"/>
    <col min="513" max="519" width="4.28515625" style="116" customWidth="1"/>
    <col min="520" max="520" width="3.42578125" style="116" customWidth="1"/>
    <col min="521" max="535" width="4.28515625" style="116" customWidth="1"/>
    <col min="536" max="541" width="4.5703125" style="116" customWidth="1"/>
    <col min="542" max="768" width="9.140625" style="116"/>
    <col min="769" max="775" width="4.28515625" style="116" customWidth="1"/>
    <col min="776" max="776" width="3.42578125" style="116" customWidth="1"/>
    <col min="777" max="791" width="4.28515625" style="116" customWidth="1"/>
    <col min="792" max="797" width="4.5703125" style="116" customWidth="1"/>
    <col min="798" max="1024" width="9.140625" style="116"/>
    <col min="1025" max="1031" width="4.28515625" style="116" customWidth="1"/>
    <col min="1032" max="1032" width="3.42578125" style="116" customWidth="1"/>
    <col min="1033" max="1047" width="4.28515625" style="116" customWidth="1"/>
    <col min="1048" max="1053" width="4.5703125" style="116" customWidth="1"/>
    <col min="1054" max="1280" width="9.140625" style="116"/>
    <col min="1281" max="1287" width="4.28515625" style="116" customWidth="1"/>
    <col min="1288" max="1288" width="3.42578125" style="116" customWidth="1"/>
    <col min="1289" max="1303" width="4.28515625" style="116" customWidth="1"/>
    <col min="1304" max="1309" width="4.5703125" style="116" customWidth="1"/>
    <col min="1310" max="1536" width="9.140625" style="116"/>
    <col min="1537" max="1543" width="4.28515625" style="116" customWidth="1"/>
    <col min="1544" max="1544" width="3.42578125" style="116" customWidth="1"/>
    <col min="1545" max="1559" width="4.28515625" style="116" customWidth="1"/>
    <col min="1560" max="1565" width="4.5703125" style="116" customWidth="1"/>
    <col min="1566" max="1792" width="9.140625" style="116"/>
    <col min="1793" max="1799" width="4.28515625" style="116" customWidth="1"/>
    <col min="1800" max="1800" width="3.42578125" style="116" customWidth="1"/>
    <col min="1801" max="1815" width="4.28515625" style="116" customWidth="1"/>
    <col min="1816" max="1821" width="4.5703125" style="116" customWidth="1"/>
    <col min="1822" max="2048" width="9.140625" style="116"/>
    <col min="2049" max="2055" width="4.28515625" style="116" customWidth="1"/>
    <col min="2056" max="2056" width="3.42578125" style="116" customWidth="1"/>
    <col min="2057" max="2071" width="4.28515625" style="116" customWidth="1"/>
    <col min="2072" max="2077" width="4.5703125" style="116" customWidth="1"/>
    <col min="2078" max="2304" width="9.140625" style="116"/>
    <col min="2305" max="2311" width="4.28515625" style="116" customWidth="1"/>
    <col min="2312" max="2312" width="3.42578125" style="116" customWidth="1"/>
    <col min="2313" max="2327" width="4.28515625" style="116" customWidth="1"/>
    <col min="2328" max="2333" width="4.5703125" style="116" customWidth="1"/>
    <col min="2334" max="2560" width="9.140625" style="116"/>
    <col min="2561" max="2567" width="4.28515625" style="116" customWidth="1"/>
    <col min="2568" max="2568" width="3.42578125" style="116" customWidth="1"/>
    <col min="2569" max="2583" width="4.28515625" style="116" customWidth="1"/>
    <col min="2584" max="2589" width="4.5703125" style="116" customWidth="1"/>
    <col min="2590" max="2816" width="9.140625" style="116"/>
    <col min="2817" max="2823" width="4.28515625" style="116" customWidth="1"/>
    <col min="2824" max="2824" width="3.42578125" style="116" customWidth="1"/>
    <col min="2825" max="2839" width="4.28515625" style="116" customWidth="1"/>
    <col min="2840" max="2845" width="4.5703125" style="116" customWidth="1"/>
    <col min="2846" max="3072" width="9.140625" style="116"/>
    <col min="3073" max="3079" width="4.28515625" style="116" customWidth="1"/>
    <col min="3080" max="3080" width="3.42578125" style="116" customWidth="1"/>
    <col min="3081" max="3095" width="4.28515625" style="116" customWidth="1"/>
    <col min="3096" max="3101" width="4.5703125" style="116" customWidth="1"/>
    <col min="3102" max="3328" width="9.140625" style="116"/>
    <col min="3329" max="3335" width="4.28515625" style="116" customWidth="1"/>
    <col min="3336" max="3336" width="3.42578125" style="116" customWidth="1"/>
    <col min="3337" max="3351" width="4.28515625" style="116" customWidth="1"/>
    <col min="3352" max="3357" width="4.5703125" style="116" customWidth="1"/>
    <col min="3358" max="3584" width="9.140625" style="116"/>
    <col min="3585" max="3591" width="4.28515625" style="116" customWidth="1"/>
    <col min="3592" max="3592" width="3.42578125" style="116" customWidth="1"/>
    <col min="3593" max="3607" width="4.28515625" style="116" customWidth="1"/>
    <col min="3608" max="3613" width="4.5703125" style="116" customWidth="1"/>
    <col min="3614" max="3840" width="9.140625" style="116"/>
    <col min="3841" max="3847" width="4.28515625" style="116" customWidth="1"/>
    <col min="3848" max="3848" width="3.42578125" style="116" customWidth="1"/>
    <col min="3849" max="3863" width="4.28515625" style="116" customWidth="1"/>
    <col min="3864" max="3869" width="4.5703125" style="116" customWidth="1"/>
    <col min="3870" max="4096" width="9.140625" style="116"/>
    <col min="4097" max="4103" width="4.28515625" style="116" customWidth="1"/>
    <col min="4104" max="4104" width="3.42578125" style="116" customWidth="1"/>
    <col min="4105" max="4119" width="4.28515625" style="116" customWidth="1"/>
    <col min="4120" max="4125" width="4.5703125" style="116" customWidth="1"/>
    <col min="4126" max="4352" width="9.140625" style="116"/>
    <col min="4353" max="4359" width="4.28515625" style="116" customWidth="1"/>
    <col min="4360" max="4360" width="3.42578125" style="116" customWidth="1"/>
    <col min="4361" max="4375" width="4.28515625" style="116" customWidth="1"/>
    <col min="4376" max="4381" width="4.5703125" style="116" customWidth="1"/>
    <col min="4382" max="4608" width="9.140625" style="116"/>
    <col min="4609" max="4615" width="4.28515625" style="116" customWidth="1"/>
    <col min="4616" max="4616" width="3.42578125" style="116" customWidth="1"/>
    <col min="4617" max="4631" width="4.28515625" style="116" customWidth="1"/>
    <col min="4632" max="4637" width="4.5703125" style="116" customWidth="1"/>
    <col min="4638" max="4864" width="9.140625" style="116"/>
    <col min="4865" max="4871" width="4.28515625" style="116" customWidth="1"/>
    <col min="4872" max="4872" width="3.42578125" style="116" customWidth="1"/>
    <col min="4873" max="4887" width="4.28515625" style="116" customWidth="1"/>
    <col min="4888" max="4893" width="4.5703125" style="116" customWidth="1"/>
    <col min="4894" max="5120" width="9.140625" style="116"/>
    <col min="5121" max="5127" width="4.28515625" style="116" customWidth="1"/>
    <col min="5128" max="5128" width="3.42578125" style="116" customWidth="1"/>
    <col min="5129" max="5143" width="4.28515625" style="116" customWidth="1"/>
    <col min="5144" max="5149" width="4.5703125" style="116" customWidth="1"/>
    <col min="5150" max="5376" width="9.140625" style="116"/>
    <col min="5377" max="5383" width="4.28515625" style="116" customWidth="1"/>
    <col min="5384" max="5384" width="3.42578125" style="116" customWidth="1"/>
    <col min="5385" max="5399" width="4.28515625" style="116" customWidth="1"/>
    <col min="5400" max="5405" width="4.5703125" style="116" customWidth="1"/>
    <col min="5406" max="5632" width="9.140625" style="116"/>
    <col min="5633" max="5639" width="4.28515625" style="116" customWidth="1"/>
    <col min="5640" max="5640" width="3.42578125" style="116" customWidth="1"/>
    <col min="5641" max="5655" width="4.28515625" style="116" customWidth="1"/>
    <col min="5656" max="5661" width="4.5703125" style="116" customWidth="1"/>
    <col min="5662" max="5888" width="9.140625" style="116"/>
    <col min="5889" max="5895" width="4.28515625" style="116" customWidth="1"/>
    <col min="5896" max="5896" width="3.42578125" style="116" customWidth="1"/>
    <col min="5897" max="5911" width="4.28515625" style="116" customWidth="1"/>
    <col min="5912" max="5917" width="4.5703125" style="116" customWidth="1"/>
    <col min="5918" max="6144" width="9.140625" style="116"/>
    <col min="6145" max="6151" width="4.28515625" style="116" customWidth="1"/>
    <col min="6152" max="6152" width="3.42578125" style="116" customWidth="1"/>
    <col min="6153" max="6167" width="4.28515625" style="116" customWidth="1"/>
    <col min="6168" max="6173" width="4.5703125" style="116" customWidth="1"/>
    <col min="6174" max="6400" width="9.140625" style="116"/>
    <col min="6401" max="6407" width="4.28515625" style="116" customWidth="1"/>
    <col min="6408" max="6408" width="3.42578125" style="116" customWidth="1"/>
    <col min="6409" max="6423" width="4.28515625" style="116" customWidth="1"/>
    <col min="6424" max="6429" width="4.5703125" style="116" customWidth="1"/>
    <col min="6430" max="6656" width="9.140625" style="116"/>
    <col min="6657" max="6663" width="4.28515625" style="116" customWidth="1"/>
    <col min="6664" max="6664" width="3.42578125" style="116" customWidth="1"/>
    <col min="6665" max="6679" width="4.28515625" style="116" customWidth="1"/>
    <col min="6680" max="6685" width="4.5703125" style="116" customWidth="1"/>
    <col min="6686" max="6912" width="9.140625" style="116"/>
    <col min="6913" max="6919" width="4.28515625" style="116" customWidth="1"/>
    <col min="6920" max="6920" width="3.42578125" style="116" customWidth="1"/>
    <col min="6921" max="6935" width="4.28515625" style="116" customWidth="1"/>
    <col min="6936" max="6941" width="4.5703125" style="116" customWidth="1"/>
    <col min="6942" max="7168" width="9.140625" style="116"/>
    <col min="7169" max="7175" width="4.28515625" style="116" customWidth="1"/>
    <col min="7176" max="7176" width="3.42578125" style="116" customWidth="1"/>
    <col min="7177" max="7191" width="4.28515625" style="116" customWidth="1"/>
    <col min="7192" max="7197" width="4.5703125" style="116" customWidth="1"/>
    <col min="7198" max="7424" width="9.140625" style="116"/>
    <col min="7425" max="7431" width="4.28515625" style="116" customWidth="1"/>
    <col min="7432" max="7432" width="3.42578125" style="116" customWidth="1"/>
    <col min="7433" max="7447" width="4.28515625" style="116" customWidth="1"/>
    <col min="7448" max="7453" width="4.5703125" style="116" customWidth="1"/>
    <col min="7454" max="7680" width="9.140625" style="116"/>
    <col min="7681" max="7687" width="4.28515625" style="116" customWidth="1"/>
    <col min="7688" max="7688" width="3.42578125" style="116" customWidth="1"/>
    <col min="7689" max="7703" width="4.28515625" style="116" customWidth="1"/>
    <col min="7704" max="7709" width="4.5703125" style="116" customWidth="1"/>
    <col min="7710" max="7936" width="9.140625" style="116"/>
    <col min="7937" max="7943" width="4.28515625" style="116" customWidth="1"/>
    <col min="7944" max="7944" width="3.42578125" style="116" customWidth="1"/>
    <col min="7945" max="7959" width="4.28515625" style="116" customWidth="1"/>
    <col min="7960" max="7965" width="4.5703125" style="116" customWidth="1"/>
    <col min="7966" max="8192" width="9.140625" style="116"/>
    <col min="8193" max="8199" width="4.28515625" style="116" customWidth="1"/>
    <col min="8200" max="8200" width="3.42578125" style="116" customWidth="1"/>
    <col min="8201" max="8215" width="4.28515625" style="116" customWidth="1"/>
    <col min="8216" max="8221" width="4.5703125" style="116" customWidth="1"/>
    <col min="8222" max="8448" width="9.140625" style="116"/>
    <col min="8449" max="8455" width="4.28515625" style="116" customWidth="1"/>
    <col min="8456" max="8456" width="3.42578125" style="116" customWidth="1"/>
    <col min="8457" max="8471" width="4.28515625" style="116" customWidth="1"/>
    <col min="8472" max="8477" width="4.5703125" style="116" customWidth="1"/>
    <col min="8478" max="8704" width="9.140625" style="116"/>
    <col min="8705" max="8711" width="4.28515625" style="116" customWidth="1"/>
    <col min="8712" max="8712" width="3.42578125" style="116" customWidth="1"/>
    <col min="8713" max="8727" width="4.28515625" style="116" customWidth="1"/>
    <col min="8728" max="8733" width="4.5703125" style="116" customWidth="1"/>
    <col min="8734" max="8960" width="9.140625" style="116"/>
    <col min="8961" max="8967" width="4.28515625" style="116" customWidth="1"/>
    <col min="8968" max="8968" width="3.42578125" style="116" customWidth="1"/>
    <col min="8969" max="8983" width="4.28515625" style="116" customWidth="1"/>
    <col min="8984" max="8989" width="4.5703125" style="116" customWidth="1"/>
    <col min="8990" max="9216" width="9.140625" style="116"/>
    <col min="9217" max="9223" width="4.28515625" style="116" customWidth="1"/>
    <col min="9224" max="9224" width="3.42578125" style="116" customWidth="1"/>
    <col min="9225" max="9239" width="4.28515625" style="116" customWidth="1"/>
    <col min="9240" max="9245" width="4.5703125" style="116" customWidth="1"/>
    <col min="9246" max="9472" width="9.140625" style="116"/>
    <col min="9473" max="9479" width="4.28515625" style="116" customWidth="1"/>
    <col min="9480" max="9480" width="3.42578125" style="116" customWidth="1"/>
    <col min="9481" max="9495" width="4.28515625" style="116" customWidth="1"/>
    <col min="9496" max="9501" width="4.5703125" style="116" customWidth="1"/>
    <col min="9502" max="9728" width="9.140625" style="116"/>
    <col min="9729" max="9735" width="4.28515625" style="116" customWidth="1"/>
    <col min="9736" max="9736" width="3.42578125" style="116" customWidth="1"/>
    <col min="9737" max="9751" width="4.28515625" style="116" customWidth="1"/>
    <col min="9752" max="9757" width="4.5703125" style="116" customWidth="1"/>
    <col min="9758" max="9984" width="9.140625" style="116"/>
    <col min="9985" max="9991" width="4.28515625" style="116" customWidth="1"/>
    <col min="9992" max="9992" width="3.42578125" style="116" customWidth="1"/>
    <col min="9993" max="10007" width="4.28515625" style="116" customWidth="1"/>
    <col min="10008" max="10013" width="4.5703125" style="116" customWidth="1"/>
    <col min="10014" max="10240" width="9.140625" style="116"/>
    <col min="10241" max="10247" width="4.28515625" style="116" customWidth="1"/>
    <col min="10248" max="10248" width="3.42578125" style="116" customWidth="1"/>
    <col min="10249" max="10263" width="4.28515625" style="116" customWidth="1"/>
    <col min="10264" max="10269" width="4.5703125" style="116" customWidth="1"/>
    <col min="10270" max="10496" width="9.140625" style="116"/>
    <col min="10497" max="10503" width="4.28515625" style="116" customWidth="1"/>
    <col min="10504" max="10504" width="3.42578125" style="116" customWidth="1"/>
    <col min="10505" max="10519" width="4.28515625" style="116" customWidth="1"/>
    <col min="10520" max="10525" width="4.5703125" style="116" customWidth="1"/>
    <col min="10526" max="10752" width="9.140625" style="116"/>
    <col min="10753" max="10759" width="4.28515625" style="116" customWidth="1"/>
    <col min="10760" max="10760" width="3.42578125" style="116" customWidth="1"/>
    <col min="10761" max="10775" width="4.28515625" style="116" customWidth="1"/>
    <col min="10776" max="10781" width="4.5703125" style="116" customWidth="1"/>
    <col min="10782" max="11008" width="9.140625" style="116"/>
    <col min="11009" max="11015" width="4.28515625" style="116" customWidth="1"/>
    <col min="11016" max="11016" width="3.42578125" style="116" customWidth="1"/>
    <col min="11017" max="11031" width="4.28515625" style="116" customWidth="1"/>
    <col min="11032" max="11037" width="4.5703125" style="116" customWidth="1"/>
    <col min="11038" max="11264" width="9.140625" style="116"/>
    <col min="11265" max="11271" width="4.28515625" style="116" customWidth="1"/>
    <col min="11272" max="11272" width="3.42578125" style="116" customWidth="1"/>
    <col min="11273" max="11287" width="4.28515625" style="116" customWidth="1"/>
    <col min="11288" max="11293" width="4.5703125" style="116" customWidth="1"/>
    <col min="11294" max="11520" width="9.140625" style="116"/>
    <col min="11521" max="11527" width="4.28515625" style="116" customWidth="1"/>
    <col min="11528" max="11528" width="3.42578125" style="116" customWidth="1"/>
    <col min="11529" max="11543" width="4.28515625" style="116" customWidth="1"/>
    <col min="11544" max="11549" width="4.5703125" style="116" customWidth="1"/>
    <col min="11550" max="11776" width="9.140625" style="116"/>
    <col min="11777" max="11783" width="4.28515625" style="116" customWidth="1"/>
    <col min="11784" max="11784" width="3.42578125" style="116" customWidth="1"/>
    <col min="11785" max="11799" width="4.28515625" style="116" customWidth="1"/>
    <col min="11800" max="11805" width="4.5703125" style="116" customWidth="1"/>
    <col min="11806" max="12032" width="9.140625" style="116"/>
    <col min="12033" max="12039" width="4.28515625" style="116" customWidth="1"/>
    <col min="12040" max="12040" width="3.42578125" style="116" customWidth="1"/>
    <col min="12041" max="12055" width="4.28515625" style="116" customWidth="1"/>
    <col min="12056" max="12061" width="4.5703125" style="116" customWidth="1"/>
    <col min="12062" max="12288" width="9.140625" style="116"/>
    <col min="12289" max="12295" width="4.28515625" style="116" customWidth="1"/>
    <col min="12296" max="12296" width="3.42578125" style="116" customWidth="1"/>
    <col min="12297" max="12311" width="4.28515625" style="116" customWidth="1"/>
    <col min="12312" max="12317" width="4.5703125" style="116" customWidth="1"/>
    <col min="12318" max="12544" width="9.140625" style="116"/>
    <col min="12545" max="12551" width="4.28515625" style="116" customWidth="1"/>
    <col min="12552" max="12552" width="3.42578125" style="116" customWidth="1"/>
    <col min="12553" max="12567" width="4.28515625" style="116" customWidth="1"/>
    <col min="12568" max="12573" width="4.5703125" style="116" customWidth="1"/>
    <col min="12574" max="12800" width="9.140625" style="116"/>
    <col min="12801" max="12807" width="4.28515625" style="116" customWidth="1"/>
    <col min="12808" max="12808" width="3.42578125" style="116" customWidth="1"/>
    <col min="12809" max="12823" width="4.28515625" style="116" customWidth="1"/>
    <col min="12824" max="12829" width="4.5703125" style="116" customWidth="1"/>
    <col min="12830" max="13056" width="9.140625" style="116"/>
    <col min="13057" max="13063" width="4.28515625" style="116" customWidth="1"/>
    <col min="13064" max="13064" width="3.42578125" style="116" customWidth="1"/>
    <col min="13065" max="13079" width="4.28515625" style="116" customWidth="1"/>
    <col min="13080" max="13085" width="4.5703125" style="116" customWidth="1"/>
    <col min="13086" max="13312" width="9.140625" style="116"/>
    <col min="13313" max="13319" width="4.28515625" style="116" customWidth="1"/>
    <col min="13320" max="13320" width="3.42578125" style="116" customWidth="1"/>
    <col min="13321" max="13335" width="4.28515625" style="116" customWidth="1"/>
    <col min="13336" max="13341" width="4.5703125" style="116" customWidth="1"/>
    <col min="13342" max="13568" width="9.140625" style="116"/>
    <col min="13569" max="13575" width="4.28515625" style="116" customWidth="1"/>
    <col min="13576" max="13576" width="3.42578125" style="116" customWidth="1"/>
    <col min="13577" max="13591" width="4.28515625" style="116" customWidth="1"/>
    <col min="13592" max="13597" width="4.5703125" style="116" customWidth="1"/>
    <col min="13598" max="13824" width="9.140625" style="116"/>
    <col min="13825" max="13831" width="4.28515625" style="116" customWidth="1"/>
    <col min="13832" max="13832" width="3.42578125" style="116" customWidth="1"/>
    <col min="13833" max="13847" width="4.28515625" style="116" customWidth="1"/>
    <col min="13848" max="13853" width="4.5703125" style="116" customWidth="1"/>
    <col min="13854" max="14080" width="9.140625" style="116"/>
    <col min="14081" max="14087" width="4.28515625" style="116" customWidth="1"/>
    <col min="14088" max="14088" width="3.42578125" style="116" customWidth="1"/>
    <col min="14089" max="14103" width="4.28515625" style="116" customWidth="1"/>
    <col min="14104" max="14109" width="4.5703125" style="116" customWidth="1"/>
    <col min="14110" max="14336" width="9.140625" style="116"/>
    <col min="14337" max="14343" width="4.28515625" style="116" customWidth="1"/>
    <col min="14344" max="14344" width="3.42578125" style="116" customWidth="1"/>
    <col min="14345" max="14359" width="4.28515625" style="116" customWidth="1"/>
    <col min="14360" max="14365" width="4.5703125" style="116" customWidth="1"/>
    <col min="14366" max="14592" width="9.140625" style="116"/>
    <col min="14593" max="14599" width="4.28515625" style="116" customWidth="1"/>
    <col min="14600" max="14600" width="3.42578125" style="116" customWidth="1"/>
    <col min="14601" max="14615" width="4.28515625" style="116" customWidth="1"/>
    <col min="14616" max="14621" width="4.5703125" style="116" customWidth="1"/>
    <col min="14622" max="14848" width="9.140625" style="116"/>
    <col min="14849" max="14855" width="4.28515625" style="116" customWidth="1"/>
    <col min="14856" max="14856" width="3.42578125" style="116" customWidth="1"/>
    <col min="14857" max="14871" width="4.28515625" style="116" customWidth="1"/>
    <col min="14872" max="14877" width="4.5703125" style="116" customWidth="1"/>
    <col min="14878" max="15104" width="9.140625" style="116"/>
    <col min="15105" max="15111" width="4.28515625" style="116" customWidth="1"/>
    <col min="15112" max="15112" width="3.42578125" style="116" customWidth="1"/>
    <col min="15113" max="15127" width="4.28515625" style="116" customWidth="1"/>
    <col min="15128" max="15133" width="4.5703125" style="116" customWidth="1"/>
    <col min="15134" max="15360" width="9.140625" style="116"/>
    <col min="15361" max="15367" width="4.28515625" style="116" customWidth="1"/>
    <col min="15368" max="15368" width="3.42578125" style="116" customWidth="1"/>
    <col min="15369" max="15383" width="4.28515625" style="116" customWidth="1"/>
    <col min="15384" max="15389" width="4.5703125" style="116" customWidth="1"/>
    <col min="15390" max="15616" width="9.140625" style="116"/>
    <col min="15617" max="15623" width="4.28515625" style="116" customWidth="1"/>
    <col min="15624" max="15624" width="3.42578125" style="116" customWidth="1"/>
    <col min="15625" max="15639" width="4.28515625" style="116" customWidth="1"/>
    <col min="15640" max="15645" width="4.5703125" style="116" customWidth="1"/>
    <col min="15646" max="15872" width="9.140625" style="116"/>
    <col min="15873" max="15879" width="4.28515625" style="116" customWidth="1"/>
    <col min="15880" max="15880" width="3.42578125" style="116" customWidth="1"/>
    <col min="15881" max="15895" width="4.28515625" style="116" customWidth="1"/>
    <col min="15896" max="15901" width="4.5703125" style="116" customWidth="1"/>
    <col min="15902" max="16128" width="9.140625" style="116"/>
    <col min="16129" max="16135" width="4.28515625" style="116" customWidth="1"/>
    <col min="16136" max="16136" width="3.42578125" style="116" customWidth="1"/>
    <col min="16137" max="16151" width="4.28515625" style="116" customWidth="1"/>
    <col min="16152" max="16157" width="4.5703125" style="116" customWidth="1"/>
    <col min="16158" max="16384" width="9.140625" style="116"/>
  </cols>
  <sheetData>
    <row r="1" spans="1:36" ht="14.1" customHeight="1"/>
    <row r="3" spans="1:36" ht="34.5" customHeight="1">
      <c r="A3" s="428" t="s">
        <v>126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</row>
    <row r="4" spans="1:36" s="118" customFormat="1" ht="18.9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</row>
    <row r="5" spans="1:36" s="118" customFormat="1" ht="17.850000000000001" customHeight="1">
      <c r="A5" s="119"/>
      <c r="B5" s="120" t="s">
        <v>105</v>
      </c>
      <c r="C5" s="120"/>
      <c r="D5" s="127"/>
      <c r="E5" s="120"/>
      <c r="F5" s="123" t="s">
        <v>55</v>
      </c>
      <c r="G5" s="429" t="str">
        <f>Certificate!J5</f>
        <v>SPR16010012-1</v>
      </c>
      <c r="H5" s="429"/>
      <c r="I5" s="429"/>
      <c r="J5" s="429"/>
      <c r="K5" s="125"/>
      <c r="L5" s="124"/>
      <c r="M5" s="124"/>
      <c r="N5" s="124"/>
      <c r="O5" s="124"/>
      <c r="P5" s="125"/>
      <c r="Q5" s="125"/>
      <c r="R5" s="125"/>
      <c r="S5" s="125"/>
      <c r="T5" s="125"/>
      <c r="U5" s="126" t="s">
        <v>127</v>
      </c>
      <c r="V5" s="125"/>
    </row>
    <row r="6" spans="1:36" s="118" customFormat="1" ht="18.95" customHeight="1">
      <c r="A6" s="119"/>
      <c r="B6" s="168"/>
      <c r="C6" s="121"/>
      <c r="D6" s="121"/>
      <c r="E6" s="122"/>
      <c r="F6" s="128"/>
      <c r="G6" s="128"/>
      <c r="H6" s="128"/>
      <c r="I6" s="176"/>
      <c r="J6" s="177"/>
      <c r="K6" s="169"/>
      <c r="L6" s="177"/>
      <c r="M6" s="177"/>
      <c r="N6" s="124"/>
      <c r="O6" s="124"/>
      <c r="P6" s="125"/>
      <c r="Q6" s="125"/>
      <c r="R6" s="125"/>
      <c r="S6" s="119"/>
      <c r="T6" s="119"/>
      <c r="U6" s="119"/>
    </row>
    <row r="7" spans="1:36" s="118" customFormat="1" ht="17.850000000000001" customHeight="1">
      <c r="A7" s="119"/>
      <c r="B7" s="178"/>
      <c r="C7" s="135"/>
      <c r="D7" s="121"/>
      <c r="E7" s="121"/>
      <c r="F7" s="121"/>
      <c r="G7" s="121"/>
      <c r="H7" s="121"/>
      <c r="I7" s="167"/>
      <c r="J7" s="179"/>
      <c r="K7" s="169"/>
      <c r="L7" s="180"/>
      <c r="M7" s="180"/>
      <c r="N7" s="131"/>
      <c r="O7" s="131"/>
      <c r="P7" s="131"/>
      <c r="Q7" s="131"/>
      <c r="R7" s="131"/>
      <c r="S7" s="131"/>
      <c r="T7" s="132"/>
      <c r="U7" s="132"/>
      <c r="V7" s="133"/>
      <c r="W7" s="134"/>
      <c r="AB7" s="118" t="s">
        <v>128</v>
      </c>
    </row>
    <row r="8" spans="1:36" s="118" customFormat="1" ht="14.1" customHeight="1">
      <c r="A8" s="119"/>
      <c r="B8" s="168"/>
      <c r="C8" s="135"/>
      <c r="D8" s="135"/>
      <c r="E8" s="121"/>
      <c r="F8" s="121"/>
      <c r="G8" s="121"/>
      <c r="H8" s="430" t="s">
        <v>206</v>
      </c>
      <c r="I8" s="430"/>
      <c r="J8" s="430"/>
      <c r="K8" s="430"/>
      <c r="L8" s="430"/>
      <c r="M8" s="430"/>
      <c r="N8" s="430"/>
      <c r="O8" s="430"/>
      <c r="P8" s="131"/>
      <c r="Q8" s="131"/>
      <c r="R8" s="131"/>
      <c r="S8" s="131"/>
      <c r="T8" s="131"/>
      <c r="U8" s="132"/>
      <c r="V8" s="133"/>
      <c r="W8" s="133"/>
      <c r="X8" s="134"/>
      <c r="Z8" s="147"/>
    </row>
    <row r="9" spans="1:36" s="118" customFormat="1" ht="14.1" customHeight="1">
      <c r="A9" s="119"/>
      <c r="B9" s="168"/>
      <c r="C9" s="135"/>
      <c r="D9" s="135"/>
      <c r="E9" s="121"/>
      <c r="F9" s="121"/>
      <c r="G9" s="121"/>
      <c r="H9" s="430"/>
      <c r="I9" s="430"/>
      <c r="J9" s="430"/>
      <c r="K9" s="430"/>
      <c r="L9" s="430"/>
      <c r="M9" s="430"/>
      <c r="N9" s="430"/>
      <c r="O9" s="430"/>
      <c r="P9" s="131"/>
      <c r="Q9" s="131"/>
      <c r="R9" s="131"/>
      <c r="S9" s="131"/>
      <c r="T9" s="131"/>
      <c r="U9" s="132"/>
      <c r="V9" s="133"/>
      <c r="W9" s="133"/>
      <c r="X9" s="134"/>
    </row>
    <row r="10" spans="1:36" s="134" customFormat="1" ht="18.95" customHeight="1">
      <c r="A10" s="137"/>
      <c r="B10" s="181"/>
      <c r="C10" s="139"/>
      <c r="D10" s="139"/>
      <c r="E10" s="139"/>
      <c r="F10" s="139"/>
      <c r="G10" s="140"/>
      <c r="H10" s="141"/>
      <c r="I10" s="182"/>
      <c r="J10" s="182"/>
      <c r="K10" s="182"/>
      <c r="L10" s="182"/>
      <c r="M10" s="182"/>
      <c r="N10" s="142"/>
      <c r="O10" s="142"/>
      <c r="P10" s="142"/>
      <c r="Q10" s="183"/>
      <c r="R10" s="137"/>
      <c r="S10" s="184"/>
      <c r="T10" s="133"/>
      <c r="V10" s="144"/>
      <c r="W10" s="145"/>
    </row>
    <row r="11" spans="1:36" s="118" customFormat="1" ht="21" customHeight="1">
      <c r="A11" s="119"/>
      <c r="B11" s="431" t="s">
        <v>107</v>
      </c>
      <c r="C11" s="432"/>
      <c r="D11" s="432"/>
      <c r="E11" s="432"/>
      <c r="F11" s="432"/>
      <c r="G11" s="433"/>
      <c r="H11" s="431" t="s">
        <v>109</v>
      </c>
      <c r="I11" s="432"/>
      <c r="J11" s="433"/>
      <c r="K11" s="431" t="s">
        <v>129</v>
      </c>
      <c r="L11" s="432"/>
      <c r="M11" s="433"/>
      <c r="N11" s="431" t="s">
        <v>130</v>
      </c>
      <c r="O11" s="432"/>
      <c r="P11" s="432"/>
      <c r="Q11" s="433"/>
      <c r="R11" s="432" t="s">
        <v>131</v>
      </c>
      <c r="S11" s="432"/>
      <c r="T11" s="432"/>
      <c r="U11" s="433"/>
      <c r="W11" s="147"/>
    </row>
    <row r="12" spans="1:36" s="118" customFormat="1" ht="21" customHeight="1">
      <c r="A12" s="119"/>
      <c r="B12" s="420"/>
      <c r="C12" s="421"/>
      <c r="D12" s="421"/>
      <c r="E12" s="421"/>
      <c r="F12" s="421"/>
      <c r="G12" s="421"/>
      <c r="H12" s="420"/>
      <c r="I12" s="422"/>
      <c r="J12" s="423"/>
      <c r="K12" s="424"/>
      <c r="L12" s="422"/>
      <c r="M12" s="423"/>
      <c r="N12" s="420"/>
      <c r="O12" s="422"/>
      <c r="P12" s="422"/>
      <c r="Q12" s="423"/>
      <c r="R12" s="425">
        <v>42706</v>
      </c>
      <c r="S12" s="426"/>
      <c r="T12" s="426"/>
      <c r="U12" s="427"/>
      <c r="V12" s="149"/>
      <c r="W12" s="149"/>
      <c r="X12" s="149"/>
      <c r="Y12" s="149"/>
      <c r="Z12" s="185"/>
    </row>
    <row r="13" spans="1:36" s="118" customFormat="1" ht="21" customHeight="1">
      <c r="A13" s="119"/>
      <c r="B13" s="420"/>
      <c r="C13" s="421"/>
      <c r="D13" s="421"/>
      <c r="E13" s="421"/>
      <c r="F13" s="421"/>
      <c r="G13" s="421"/>
      <c r="H13" s="420"/>
      <c r="I13" s="422"/>
      <c r="J13" s="423"/>
      <c r="K13" s="424"/>
      <c r="L13" s="422"/>
      <c r="M13" s="423"/>
      <c r="N13" s="420"/>
      <c r="O13" s="422"/>
      <c r="P13" s="422"/>
      <c r="Q13" s="423"/>
      <c r="R13" s="425">
        <v>42648</v>
      </c>
      <c r="S13" s="426"/>
      <c r="T13" s="426"/>
      <c r="U13" s="427"/>
      <c r="V13" s="149"/>
      <c r="W13" s="149"/>
      <c r="X13" s="149"/>
      <c r="Y13" s="149"/>
      <c r="Z13" s="185"/>
    </row>
    <row r="14" spans="1:36" s="118" customFormat="1" ht="16.5" customHeight="1">
      <c r="A14" s="119"/>
      <c r="B14" s="150"/>
      <c r="C14" s="129"/>
      <c r="D14" s="129"/>
      <c r="E14" s="129"/>
      <c r="F14" s="127"/>
      <c r="G14" s="127"/>
      <c r="H14" s="127"/>
      <c r="I14" s="148"/>
      <c r="J14" s="130"/>
      <c r="K14" s="125"/>
      <c r="L14" s="130"/>
      <c r="M14" s="125"/>
      <c r="N14" s="125"/>
      <c r="O14" s="130"/>
      <c r="P14" s="130"/>
      <c r="Q14" s="125"/>
      <c r="R14" s="125"/>
      <c r="S14" s="125"/>
      <c r="T14" s="125"/>
      <c r="U14" s="125"/>
      <c r="AH14" s="149"/>
      <c r="AI14" s="149"/>
    </row>
    <row r="15" spans="1:36" s="118" customFormat="1" ht="16.5" customHeight="1">
      <c r="A15" s="119"/>
      <c r="B15" s="186" t="s">
        <v>132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30"/>
      <c r="Q15" s="125"/>
      <c r="R15" s="125"/>
      <c r="S15" s="125"/>
      <c r="T15" s="125"/>
      <c r="U15" s="125"/>
      <c r="AI15" s="149"/>
      <c r="AJ15" s="149"/>
    </row>
    <row r="16" spans="1:36" s="118" customFormat="1" ht="16.5" customHeight="1">
      <c r="A16" s="119"/>
      <c r="B16" s="125"/>
      <c r="C16" s="125" t="s">
        <v>133</v>
      </c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30"/>
      <c r="Q16" s="130"/>
      <c r="R16" s="130"/>
      <c r="S16" s="130"/>
      <c r="T16" s="151"/>
      <c r="U16" s="125"/>
      <c r="V16" s="149"/>
      <c r="AI16" s="149"/>
      <c r="AJ16" s="149"/>
    </row>
    <row r="17" spans="1:35" s="118" customFormat="1" ht="18.95" customHeight="1">
      <c r="A17" s="119"/>
      <c r="B17" s="161" t="s">
        <v>134</v>
      </c>
      <c r="C17" s="166"/>
      <c r="D17" s="166"/>
      <c r="E17" s="166"/>
      <c r="F17" s="166"/>
      <c r="G17" s="166"/>
      <c r="H17" s="166"/>
      <c r="I17" s="125"/>
      <c r="J17" s="125"/>
      <c r="K17" s="125"/>
      <c r="L17" s="125"/>
      <c r="M17" s="125"/>
      <c r="N17" s="125"/>
      <c r="O17" s="125"/>
      <c r="P17" s="130"/>
      <c r="Q17" s="130"/>
      <c r="R17" s="151"/>
      <c r="S17" s="125"/>
      <c r="T17" s="130"/>
      <c r="U17" s="125"/>
      <c r="AG17" s="149"/>
      <c r="AH17" s="149"/>
    </row>
    <row r="18" spans="1:35" s="118" customFormat="1" ht="16.5" customHeight="1">
      <c r="A18" s="119"/>
      <c r="B18" s="187"/>
      <c r="C18" s="146"/>
      <c r="D18" s="121"/>
      <c r="E18" s="152"/>
      <c r="F18" s="121"/>
      <c r="G18" s="121"/>
      <c r="H18" s="121"/>
      <c r="I18" s="188"/>
      <c r="J18" s="189"/>
      <c r="K18" s="190"/>
      <c r="L18" s="190"/>
      <c r="M18" s="190"/>
      <c r="O18" s="130"/>
      <c r="P18" s="130"/>
      <c r="Q18" s="130"/>
      <c r="R18" s="151"/>
      <c r="S18" s="119"/>
      <c r="T18" s="191"/>
      <c r="U18" s="119"/>
      <c r="Y18" s="192"/>
      <c r="Z18" s="193"/>
      <c r="AF18" s="194"/>
      <c r="AG18" s="194"/>
      <c r="AH18" s="194"/>
    </row>
    <row r="19" spans="1:35" s="118" customFormat="1" ht="16.5" customHeight="1">
      <c r="A19" s="119"/>
      <c r="B19" s="187"/>
      <c r="C19" s="146"/>
      <c r="D19" s="121"/>
      <c r="E19" s="153"/>
      <c r="F19" s="121"/>
      <c r="G19" s="121"/>
      <c r="H19" s="121"/>
      <c r="I19" s="188"/>
      <c r="J19" s="414"/>
      <c r="K19" s="415"/>
      <c r="L19" s="415"/>
      <c r="M19" s="415"/>
      <c r="O19" s="130"/>
      <c r="P19" s="130"/>
      <c r="Q19" s="130"/>
      <c r="R19" s="151"/>
      <c r="S19" s="119"/>
      <c r="T19" s="191"/>
      <c r="U19" s="119"/>
      <c r="AG19" s="149"/>
      <c r="AH19" s="149"/>
    </row>
    <row r="20" spans="1:35" s="118" customFormat="1" ht="16.5" customHeight="1">
      <c r="A20" s="119"/>
      <c r="B20" s="195"/>
      <c r="C20" s="146"/>
      <c r="D20" s="121"/>
      <c r="E20" s="122"/>
      <c r="F20" s="121"/>
      <c r="G20" s="121"/>
      <c r="H20" s="121"/>
      <c r="I20" s="188"/>
      <c r="J20" s="415"/>
      <c r="K20" s="415"/>
      <c r="L20" s="415"/>
      <c r="M20" s="415"/>
      <c r="O20" s="130"/>
      <c r="P20" s="130"/>
      <c r="Q20" s="130"/>
      <c r="R20" s="151"/>
      <c r="S20" s="119"/>
      <c r="T20" s="191"/>
      <c r="U20" s="119"/>
      <c r="AG20" s="149"/>
      <c r="AH20" s="149"/>
    </row>
    <row r="21" spans="1:35" s="118" customFormat="1" ht="18.95" customHeight="1">
      <c r="A21" s="119"/>
      <c r="B21" s="195"/>
      <c r="C21" s="146"/>
      <c r="D21" s="121"/>
      <c r="E21" s="122"/>
      <c r="F21" s="121"/>
      <c r="G21" s="146"/>
      <c r="H21" s="154"/>
      <c r="I21" s="196"/>
      <c r="J21" s="196"/>
      <c r="K21" s="196"/>
      <c r="L21" s="179"/>
      <c r="M21" s="179"/>
      <c r="O21" s="130"/>
      <c r="P21" s="151"/>
      <c r="Q21" s="119"/>
      <c r="R21" s="191"/>
      <c r="S21" s="119"/>
      <c r="AF21" s="149"/>
    </row>
    <row r="22" spans="1:35" s="118" customFormat="1" ht="16.5" customHeight="1">
      <c r="A22" s="119"/>
      <c r="B22" s="178"/>
      <c r="C22" s="135"/>
      <c r="D22" s="135"/>
      <c r="E22" s="135"/>
      <c r="F22" s="135"/>
      <c r="G22" s="135"/>
      <c r="H22" s="155"/>
      <c r="I22" s="171"/>
      <c r="J22" s="179"/>
      <c r="K22" s="179"/>
      <c r="L22" s="197"/>
      <c r="M22" s="169"/>
      <c r="O22" s="157"/>
      <c r="P22" s="157"/>
      <c r="Q22" s="119"/>
      <c r="R22" s="119"/>
      <c r="S22" s="119"/>
      <c r="AF22" s="198"/>
      <c r="AG22" s="198"/>
    </row>
    <row r="23" spans="1:35" s="118" customFormat="1" ht="16.5" customHeight="1">
      <c r="A23" s="119"/>
      <c r="B23" s="178"/>
      <c r="C23" s="135"/>
      <c r="D23" s="135"/>
      <c r="E23" s="135"/>
      <c r="F23" s="121"/>
      <c r="G23" s="121"/>
      <c r="H23" s="121"/>
      <c r="I23" s="167"/>
      <c r="J23" s="199"/>
      <c r="K23" s="169"/>
      <c r="L23" s="169"/>
      <c r="M23" s="169"/>
      <c r="O23" s="125"/>
      <c r="P23" s="125"/>
      <c r="Q23" s="125"/>
      <c r="R23" s="125"/>
      <c r="S23" s="119"/>
      <c r="T23" s="119"/>
      <c r="U23" s="119"/>
      <c r="AG23" s="200"/>
      <c r="AH23" s="201"/>
      <c r="AI23" s="134"/>
    </row>
    <row r="24" spans="1:35" s="118" customFormat="1" ht="16.5" customHeight="1">
      <c r="A24" s="119"/>
      <c r="B24" s="178"/>
      <c r="C24" s="122"/>
      <c r="D24" s="122"/>
      <c r="E24" s="122"/>
      <c r="F24" s="121"/>
      <c r="G24" s="121"/>
      <c r="H24" s="121"/>
      <c r="I24" s="202"/>
      <c r="J24" s="199"/>
      <c r="K24" s="169"/>
      <c r="L24" s="169"/>
      <c r="M24" s="169"/>
      <c r="O24" s="125"/>
      <c r="P24" s="125"/>
      <c r="Q24" s="125"/>
      <c r="R24" s="125"/>
      <c r="S24" s="119"/>
      <c r="T24" s="119"/>
      <c r="U24" s="119"/>
      <c r="V24" s="134"/>
      <c r="W24" s="134"/>
      <c r="AC24" s="203"/>
      <c r="AD24" s="203"/>
      <c r="AE24" s="203"/>
      <c r="AF24" s="203"/>
      <c r="AG24" s="200"/>
      <c r="AH24" s="201"/>
      <c r="AI24" s="134"/>
    </row>
    <row r="25" spans="1:35" s="118" customFormat="1" ht="16.5" customHeight="1">
      <c r="A25" s="119"/>
      <c r="B25" s="178"/>
      <c r="C25" s="122"/>
      <c r="D25" s="122"/>
      <c r="E25" s="122"/>
      <c r="F25" s="121"/>
      <c r="G25" s="121"/>
      <c r="H25" s="121"/>
      <c r="I25" s="202"/>
      <c r="J25" s="199"/>
      <c r="K25" s="169"/>
      <c r="L25" s="169"/>
      <c r="M25" s="169"/>
      <c r="O25" s="125"/>
      <c r="P25" s="125"/>
      <c r="Q25" s="125"/>
      <c r="R25" s="125"/>
      <c r="S25" s="119"/>
      <c r="T25" s="119"/>
      <c r="U25" s="119"/>
      <c r="V25" s="134"/>
      <c r="W25" s="134"/>
      <c r="AC25" s="203"/>
      <c r="AD25" s="203"/>
      <c r="AE25" s="203"/>
      <c r="AF25" s="203"/>
      <c r="AG25" s="200"/>
      <c r="AH25" s="201"/>
      <c r="AI25" s="134"/>
    </row>
    <row r="26" spans="1:35" s="118" customFormat="1" ht="18.95" customHeight="1">
      <c r="A26" s="119"/>
      <c r="B26" s="168"/>
      <c r="C26" s="121"/>
      <c r="D26" s="122"/>
      <c r="E26" s="122"/>
      <c r="F26" s="122"/>
      <c r="G26" s="122"/>
      <c r="H26" s="128"/>
      <c r="I26" s="169"/>
      <c r="J26" s="169"/>
      <c r="K26" s="169"/>
      <c r="L26" s="169"/>
      <c r="M26" s="169"/>
      <c r="N26" s="191"/>
      <c r="O26" s="119"/>
      <c r="P26" s="119"/>
      <c r="Q26" s="119"/>
      <c r="R26" s="119"/>
      <c r="S26" s="119"/>
      <c r="T26" s="119"/>
      <c r="U26" s="134"/>
      <c r="V26" s="134"/>
      <c r="AA26" s="203"/>
      <c r="AB26" s="203"/>
      <c r="AC26" s="203"/>
      <c r="AD26" s="203"/>
      <c r="AE26" s="203"/>
      <c r="AF26" s="200"/>
      <c r="AG26" s="201"/>
      <c r="AH26" s="134"/>
    </row>
    <row r="27" spans="1:35" s="118" customFormat="1" ht="16.5" customHeight="1">
      <c r="A27" s="137"/>
      <c r="B27" s="195"/>
      <c r="C27" s="121"/>
      <c r="D27" s="122"/>
      <c r="E27" s="122"/>
      <c r="F27" s="122"/>
      <c r="G27" s="122"/>
      <c r="H27" s="159"/>
      <c r="I27" s="160"/>
      <c r="J27" s="159"/>
      <c r="K27" s="159"/>
      <c r="L27" s="159"/>
      <c r="M27" s="160"/>
      <c r="N27" s="159"/>
      <c r="O27" s="159"/>
      <c r="P27" s="159"/>
      <c r="Q27" s="159"/>
      <c r="R27" s="159"/>
      <c r="S27" s="159"/>
      <c r="T27" s="160"/>
    </row>
    <row r="28" spans="1:35" s="118" customFormat="1" ht="16.5" customHeight="1">
      <c r="A28" s="119"/>
      <c r="V28" s="204"/>
    </row>
    <row r="29" spans="1:35" s="118" customFormat="1" ht="16.5" customHeight="1">
      <c r="A29" s="119"/>
      <c r="V29" s="204"/>
    </row>
    <row r="30" spans="1:35" s="118" customFormat="1" ht="18.95" customHeight="1">
      <c r="A30" s="119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63"/>
      <c r="W30" s="163"/>
      <c r="X30" s="164"/>
      <c r="Y30" s="164"/>
    </row>
    <row r="31" spans="1:35" s="118" customFormat="1" ht="16.5" customHeight="1">
      <c r="A31" s="119"/>
      <c r="P31" s="162"/>
      <c r="Q31" s="162"/>
      <c r="R31" s="162"/>
      <c r="S31" s="162"/>
      <c r="T31" s="162"/>
      <c r="U31" s="163"/>
      <c r="V31" s="163"/>
      <c r="W31" s="164"/>
      <c r="X31" s="164"/>
    </row>
    <row r="32" spans="1:35" s="118" customFormat="1" ht="16.5" customHeight="1">
      <c r="A32" s="119"/>
      <c r="P32" s="125"/>
      <c r="Q32" s="125"/>
      <c r="R32" s="125"/>
      <c r="S32" s="125"/>
      <c r="T32" s="119"/>
    </row>
    <row r="33" spans="1:26" s="118" customFormat="1" ht="16.5" customHeight="1">
      <c r="A33" s="119"/>
      <c r="P33" s="125"/>
      <c r="Q33" s="125"/>
      <c r="R33" s="125"/>
      <c r="S33" s="125"/>
      <c r="T33" s="119"/>
    </row>
    <row r="34" spans="1:26" s="118" customFormat="1" ht="18.95" customHeight="1">
      <c r="A34" s="119"/>
      <c r="B34" s="161"/>
      <c r="C34" s="166"/>
      <c r="D34" s="166"/>
      <c r="E34" s="166"/>
      <c r="F34" s="166"/>
      <c r="G34" s="166"/>
      <c r="H34" s="166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19"/>
    </row>
    <row r="35" spans="1:26" s="118" customFormat="1" ht="16.5" customHeight="1">
      <c r="A35" s="119"/>
      <c r="B35" s="195"/>
      <c r="C35" s="205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37"/>
    </row>
    <row r="36" spans="1:26" s="118" customFormat="1" ht="16.5" customHeight="1">
      <c r="A36" s="119"/>
      <c r="B36" s="177"/>
      <c r="C36" s="177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37"/>
      <c r="T36" s="137"/>
    </row>
    <row r="37" spans="1:26" s="118" customFormat="1" ht="16.5" customHeight="1">
      <c r="A37" s="119"/>
      <c r="B37" s="206"/>
      <c r="C37" s="172"/>
      <c r="D37" s="166"/>
      <c r="E37" s="166"/>
      <c r="F37" s="166"/>
      <c r="G37" s="166"/>
      <c r="H37" s="166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37"/>
      <c r="T37" s="137"/>
    </row>
    <row r="38" spans="1:26" s="118" customFormat="1" ht="18.95" customHeight="1">
      <c r="A38" s="119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</row>
    <row r="39" spans="1:26" s="118" customFormat="1" ht="16.5" customHeight="1">
      <c r="A39" s="119"/>
      <c r="B39" s="195"/>
      <c r="C39" s="134"/>
      <c r="D39" s="134"/>
      <c r="E39" s="134"/>
      <c r="F39" s="416"/>
      <c r="G39" s="416"/>
      <c r="H39" s="416"/>
      <c r="I39" s="416"/>
      <c r="J39" s="207"/>
      <c r="K39" s="134"/>
      <c r="L39" s="417"/>
      <c r="M39" s="417"/>
      <c r="N39" s="417"/>
      <c r="O39" s="417"/>
      <c r="P39" s="124"/>
      <c r="Q39" s="124"/>
      <c r="R39" s="124"/>
      <c r="S39" s="124"/>
      <c r="T39" s="124"/>
    </row>
    <row r="40" spans="1:26" s="118" customFormat="1" ht="14.1" customHeight="1">
      <c r="A40" s="173"/>
      <c r="B40" s="134"/>
      <c r="C40" s="134"/>
      <c r="D40" s="134"/>
      <c r="E40" s="134"/>
      <c r="F40" s="177"/>
      <c r="G40" s="177"/>
      <c r="H40" s="177"/>
      <c r="I40" s="172"/>
      <c r="J40" s="137"/>
      <c r="K40" s="134"/>
      <c r="L40" s="137"/>
      <c r="M40" s="137"/>
      <c r="N40" s="208"/>
      <c r="O40" s="209"/>
      <c r="P40" s="172"/>
      <c r="Q40" s="172"/>
      <c r="R40" s="172"/>
      <c r="S40" s="172"/>
      <c r="T40" s="172"/>
      <c r="U40" s="174"/>
      <c r="V40" s="174"/>
      <c r="W40" s="174"/>
      <c r="X40" s="174"/>
      <c r="Y40" s="174"/>
      <c r="Z40" s="174"/>
    </row>
    <row r="41" spans="1:26" s="118" customFormat="1" ht="16.5" customHeight="1">
      <c r="A41" s="119"/>
      <c r="B41" s="195"/>
      <c r="C41" s="122"/>
      <c r="D41" s="122"/>
      <c r="E41" s="134"/>
      <c r="F41" s="177"/>
      <c r="G41" s="210"/>
      <c r="H41" s="210"/>
      <c r="I41" s="210"/>
      <c r="J41" s="134"/>
      <c r="K41" s="134"/>
      <c r="L41" s="137"/>
      <c r="M41" s="137"/>
      <c r="N41" s="137"/>
      <c r="O41" s="137"/>
      <c r="P41" s="418"/>
      <c r="Q41" s="418"/>
      <c r="R41" s="418"/>
      <c r="S41" s="418"/>
      <c r="T41" s="418"/>
      <c r="U41" s="174"/>
      <c r="V41" s="174"/>
      <c r="W41" s="174"/>
      <c r="X41" s="174"/>
      <c r="Y41" s="174"/>
      <c r="Z41" s="174"/>
    </row>
    <row r="42" spans="1:26" s="118" customFormat="1" ht="18.95" customHeight="1">
      <c r="A42" s="119"/>
      <c r="D42" s="419"/>
      <c r="E42" s="419"/>
      <c r="F42" s="419"/>
      <c r="G42" s="419"/>
      <c r="H42" s="419"/>
      <c r="K42" s="137"/>
      <c r="L42" s="119"/>
      <c r="M42" s="119"/>
      <c r="N42" s="156"/>
      <c r="O42" s="156"/>
      <c r="P42" s="156"/>
      <c r="Q42" s="156"/>
      <c r="R42" s="156"/>
      <c r="S42" s="122"/>
      <c r="T42" s="174"/>
      <c r="U42" s="174"/>
      <c r="V42" s="174"/>
      <c r="W42" s="174"/>
      <c r="X42" s="174"/>
      <c r="Y42" s="174"/>
    </row>
    <row r="43" spans="1:26" s="118" customFormat="1" ht="16.5" customHeight="1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08"/>
      <c r="O43" s="408"/>
      <c r="P43" s="408"/>
      <c r="Q43" s="408"/>
      <c r="R43" s="408"/>
      <c r="S43" s="408"/>
      <c r="T43" s="408"/>
      <c r="U43" s="175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25">
    <mergeCell ref="A3:V3"/>
    <mergeCell ref="G5:J5"/>
    <mergeCell ref="H8:O9"/>
    <mergeCell ref="B11:G11"/>
    <mergeCell ref="H11:J11"/>
    <mergeCell ref="K11:M11"/>
    <mergeCell ref="N11:Q11"/>
    <mergeCell ref="R11:U11"/>
    <mergeCell ref="B13:G13"/>
    <mergeCell ref="H13:J13"/>
    <mergeCell ref="K13:M13"/>
    <mergeCell ref="N13:Q13"/>
    <mergeCell ref="R13:U13"/>
    <mergeCell ref="B12:G12"/>
    <mergeCell ref="H12:J12"/>
    <mergeCell ref="K12:M12"/>
    <mergeCell ref="N12:Q12"/>
    <mergeCell ref="R12:U12"/>
    <mergeCell ref="A43:T43"/>
    <mergeCell ref="J19:M19"/>
    <mergeCell ref="J20:M20"/>
    <mergeCell ref="F39:I39"/>
    <mergeCell ref="L39:O39"/>
    <mergeCell ref="P41:T41"/>
    <mergeCell ref="D42:H42"/>
  </mergeCells>
  <pageMargins left="0.23622047244094491" right="0.23622047244094491" top="0.98425196850393704" bottom="0.19685039370078741" header="0.31496062992125984" footer="0.31496062992125984"/>
  <pageSetup paperSize="9" orientation="portrait" horizontalDpi="1200" verticalDpi="1200" r:id="rId1"/>
  <headerFooter>
    <oddFooter>&amp;R&amp;"Cordia New,Regular"&amp;14SP-FM-04-15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O73"/>
  <sheetViews>
    <sheetView view="pageBreakPreview" zoomScaleNormal="100" zoomScaleSheetLayoutView="100" workbookViewId="0">
      <selection activeCell="H8" sqref="H8"/>
    </sheetView>
  </sheetViews>
  <sheetFormatPr defaultColWidth="9.140625" defaultRowHeight="12"/>
  <cols>
    <col min="1" max="25" width="3.85546875" style="214" customWidth="1"/>
    <col min="26" max="27" width="4.140625" style="214" customWidth="1"/>
    <col min="28" max="38" width="4.42578125" style="214" customWidth="1"/>
    <col min="39" max="41" width="4.42578125" style="211" customWidth="1"/>
    <col min="42" max="48" width="4.42578125" style="214" customWidth="1"/>
    <col min="49" max="16384" width="9.140625" style="214"/>
  </cols>
  <sheetData>
    <row r="1" spans="2:31" s="211" customFormat="1" ht="18" customHeight="1"/>
    <row r="2" spans="2:31" s="211" customFormat="1" ht="18" customHeight="1">
      <c r="AA2" s="212"/>
      <c r="AB2" s="212"/>
      <c r="AC2" s="212"/>
      <c r="AD2" s="212"/>
      <c r="AE2" s="212"/>
    </row>
    <row r="3" spans="2:31" s="211" customFormat="1" ht="34.5" customHeight="1">
      <c r="B3" s="440" t="s">
        <v>135</v>
      </c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/>
      <c r="V3" s="440"/>
      <c r="W3" s="440"/>
      <c r="AA3" s="212"/>
      <c r="AB3" s="212"/>
      <c r="AC3" s="212"/>
      <c r="AD3" s="212"/>
      <c r="AE3" s="212"/>
    </row>
    <row r="4" spans="2:31" s="211" customFormat="1" ht="12" customHeight="1">
      <c r="AA4" s="213"/>
      <c r="AB4" s="213"/>
      <c r="AC4" s="213"/>
      <c r="AD4" s="213"/>
      <c r="AE4" s="213"/>
    </row>
    <row r="5" spans="2:31" ht="18" customHeight="1">
      <c r="C5" s="215" t="s">
        <v>4</v>
      </c>
      <c r="D5" s="211"/>
      <c r="E5" s="211"/>
      <c r="H5" s="216" t="str">
        <f>Report!G5</f>
        <v>SPR16010012-1</v>
      </c>
      <c r="I5" s="211"/>
      <c r="J5" s="211"/>
      <c r="K5" s="211"/>
      <c r="L5" s="211"/>
      <c r="M5" s="211"/>
      <c r="N5" s="211"/>
      <c r="P5" s="217"/>
      <c r="Q5" s="217"/>
      <c r="R5" s="217"/>
      <c r="S5" s="441" t="s">
        <v>136</v>
      </c>
      <c r="T5" s="441"/>
      <c r="U5" s="441"/>
      <c r="V5" s="441"/>
      <c r="W5" s="218"/>
      <c r="AA5" s="213"/>
      <c r="AB5" s="213"/>
      <c r="AC5" s="213"/>
      <c r="AD5" s="213"/>
      <c r="AE5" s="213"/>
    </row>
    <row r="6" spans="2:31" ht="18" customHeight="1"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W6" s="211"/>
      <c r="X6" s="211"/>
    </row>
    <row r="7" spans="2:31" ht="18" customHeight="1">
      <c r="C7" s="211" t="s">
        <v>137</v>
      </c>
      <c r="D7" s="211"/>
      <c r="W7" s="211"/>
      <c r="X7" s="211"/>
    </row>
    <row r="8" spans="2:31" ht="18" customHeight="1">
      <c r="E8" s="257"/>
      <c r="F8" s="257"/>
      <c r="G8" s="257"/>
      <c r="H8" s="257"/>
      <c r="I8" s="257"/>
      <c r="J8" s="257"/>
      <c r="K8" s="219"/>
      <c r="L8" s="219"/>
      <c r="M8" s="219"/>
      <c r="N8" s="219"/>
      <c r="O8" s="211"/>
      <c r="P8" s="211"/>
      <c r="Q8" s="211"/>
      <c r="R8" s="211"/>
      <c r="S8" s="211"/>
      <c r="T8" s="211"/>
      <c r="W8" s="211"/>
      <c r="X8" s="211"/>
    </row>
    <row r="9" spans="2:31" ht="18" customHeight="1">
      <c r="E9" s="257"/>
      <c r="F9" s="257"/>
      <c r="G9" s="257"/>
      <c r="H9" s="257"/>
      <c r="I9" s="257"/>
      <c r="J9" s="257"/>
      <c r="K9" s="220"/>
      <c r="L9" s="220"/>
      <c r="M9" s="211"/>
      <c r="N9" s="221"/>
      <c r="O9" s="211"/>
      <c r="P9" s="211"/>
      <c r="Q9" s="211"/>
      <c r="R9" s="211"/>
      <c r="S9" s="211"/>
      <c r="T9" s="211"/>
      <c r="W9" s="211"/>
      <c r="X9" s="211"/>
    </row>
    <row r="10" spans="2:31" ht="23.1" customHeight="1">
      <c r="C10" s="211"/>
      <c r="E10" s="258"/>
      <c r="F10" s="258"/>
      <c r="G10" s="258"/>
      <c r="H10" s="259"/>
      <c r="I10" s="259"/>
      <c r="J10" s="258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W10" s="211"/>
      <c r="X10" s="211"/>
    </row>
    <row r="11" spans="2:31" ht="18" customHeight="1">
      <c r="C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W11" s="211"/>
      <c r="X11" s="211"/>
    </row>
    <row r="12" spans="2:31" ht="18" customHeight="1">
      <c r="W12" s="211"/>
    </row>
    <row r="13" spans="2:31" ht="18" customHeight="1">
      <c r="W13" s="211"/>
    </row>
    <row r="14" spans="2:31" ht="18" customHeight="1">
      <c r="W14" s="211"/>
    </row>
    <row r="15" spans="2:31" ht="21" customHeight="1">
      <c r="W15" s="211"/>
    </row>
    <row r="16" spans="2:31" ht="21" customHeight="1">
      <c r="W16" s="211"/>
    </row>
    <row r="17" spans="2:41" ht="21" customHeight="1">
      <c r="W17" s="211"/>
    </row>
    <row r="18" spans="2:41" ht="21" customHeight="1">
      <c r="W18" s="211"/>
    </row>
    <row r="19" spans="2:41" ht="21" customHeight="1">
      <c r="C19" s="211"/>
      <c r="E19" s="261"/>
      <c r="F19" s="261"/>
      <c r="G19" s="211"/>
      <c r="H19" s="261"/>
      <c r="I19" s="261"/>
      <c r="J19" s="211"/>
      <c r="K19" s="261"/>
      <c r="L19" s="261"/>
      <c r="M19" s="211"/>
      <c r="N19" s="261"/>
      <c r="O19" s="261"/>
      <c r="P19" s="211"/>
      <c r="Q19" s="261"/>
      <c r="R19" s="261"/>
      <c r="S19" s="211"/>
      <c r="T19" s="261"/>
      <c r="U19" s="261"/>
      <c r="V19" s="211"/>
      <c r="W19" s="261"/>
      <c r="X19" s="261"/>
      <c r="Y19" s="211"/>
      <c r="Z19" s="261"/>
      <c r="AA19" s="261"/>
      <c r="AB19" s="211"/>
      <c r="AC19" s="261"/>
      <c r="AD19" s="261"/>
      <c r="AE19" s="211"/>
      <c r="AF19" s="261"/>
      <c r="AG19" s="261"/>
    </row>
    <row r="20" spans="2:41" ht="21" customHeight="1">
      <c r="E20" s="261"/>
      <c r="F20" s="261"/>
      <c r="G20" s="211"/>
      <c r="H20" s="262"/>
      <c r="I20" s="262"/>
      <c r="J20" s="211"/>
      <c r="K20" s="262"/>
      <c r="L20" s="262"/>
      <c r="M20" s="211"/>
      <c r="N20" s="262"/>
      <c r="O20" s="262"/>
      <c r="P20" s="211"/>
      <c r="Q20" s="262"/>
      <c r="R20" s="262"/>
      <c r="S20" s="211"/>
      <c r="T20" s="262"/>
      <c r="U20" s="262"/>
      <c r="V20" s="211"/>
      <c r="W20" s="262"/>
      <c r="X20" s="262"/>
      <c r="Y20" s="211"/>
      <c r="Z20" s="262"/>
      <c r="AA20" s="262"/>
      <c r="AB20" s="211"/>
      <c r="AC20" s="262"/>
      <c r="AD20" s="262"/>
      <c r="AE20" s="211"/>
      <c r="AF20" s="262"/>
      <c r="AG20" s="262"/>
    </row>
    <row r="21" spans="2:41" ht="21" customHeight="1">
      <c r="E21" s="261"/>
      <c r="F21" s="261"/>
      <c r="G21" s="211"/>
      <c r="H21" s="262"/>
      <c r="I21" s="262"/>
      <c r="J21" s="211"/>
      <c r="K21" s="262"/>
      <c r="L21" s="262"/>
      <c r="M21" s="211"/>
      <c r="N21" s="262"/>
      <c r="O21" s="262"/>
      <c r="P21" s="211"/>
      <c r="Q21" s="262"/>
      <c r="R21" s="262"/>
      <c r="S21" s="211"/>
      <c r="T21" s="262"/>
      <c r="U21" s="262"/>
      <c r="V21" s="211" t="s">
        <v>138</v>
      </c>
      <c r="W21" s="262" t="s">
        <v>167</v>
      </c>
      <c r="X21" s="262"/>
      <c r="Y21" s="211"/>
      <c r="Z21" s="262"/>
      <c r="AA21" s="262"/>
      <c r="AB21" s="211"/>
      <c r="AC21" s="262"/>
      <c r="AD21" s="262"/>
      <c r="AE21" s="211"/>
      <c r="AF21" s="262"/>
      <c r="AG21" s="262"/>
    </row>
    <row r="22" spans="2:41" ht="21" customHeight="1">
      <c r="B22" s="367" t="s">
        <v>48</v>
      </c>
      <c r="C22" s="368"/>
      <c r="D22" s="367" t="s">
        <v>39</v>
      </c>
      <c r="E22" s="368"/>
      <c r="F22" s="367" t="s">
        <v>40</v>
      </c>
      <c r="G22" s="368"/>
      <c r="H22" s="367" t="s">
        <v>41</v>
      </c>
      <c r="I22" s="368"/>
      <c r="J22" s="367" t="s">
        <v>42</v>
      </c>
      <c r="K22" s="368"/>
      <c r="L22" s="367" t="s">
        <v>43</v>
      </c>
      <c r="M22" s="368"/>
      <c r="N22" s="367" t="s">
        <v>44</v>
      </c>
      <c r="O22" s="368"/>
      <c r="P22" s="367" t="s">
        <v>45</v>
      </c>
      <c r="Q22" s="368"/>
      <c r="R22" s="367" t="s">
        <v>46</v>
      </c>
      <c r="S22" s="368"/>
      <c r="T22" s="367" t="s">
        <v>47</v>
      </c>
      <c r="U22" s="368"/>
      <c r="V22" s="367" t="s">
        <v>165</v>
      </c>
      <c r="W22" s="368"/>
      <c r="X22" s="338"/>
      <c r="Y22" s="211"/>
      <c r="Z22" s="338"/>
      <c r="AA22" s="338"/>
      <c r="AB22" s="211"/>
      <c r="AC22" s="338"/>
      <c r="AD22" s="338"/>
      <c r="AE22" s="211"/>
      <c r="AF22" s="338"/>
      <c r="AG22" s="338"/>
    </row>
    <row r="23" spans="2:41" ht="21" customHeight="1">
      <c r="B23" s="367">
        <v>1</v>
      </c>
      <c r="C23" s="368"/>
      <c r="D23" s="437">
        <f>'Data Record'!E26</f>
        <v>0.5</v>
      </c>
      <c r="E23" s="438"/>
      <c r="F23" s="437">
        <f>'Data Record'!G26</f>
        <v>1</v>
      </c>
      <c r="G23" s="438"/>
      <c r="H23" s="437">
        <f>'Data Record'!I26</f>
        <v>1E-3</v>
      </c>
      <c r="I23" s="438"/>
      <c r="J23" s="437">
        <f>'Data Record'!K26</f>
        <v>1.5E-3</v>
      </c>
      <c r="K23" s="438"/>
      <c r="L23" s="437">
        <f>'Data Record'!M26</f>
        <v>1E-3</v>
      </c>
      <c r="M23" s="438"/>
      <c r="N23" s="437">
        <f>'Data Record'!O26</f>
        <v>-0.5</v>
      </c>
      <c r="O23" s="438"/>
      <c r="P23" s="437">
        <f>'Data Record'!Q26</f>
        <v>-0.5</v>
      </c>
      <c r="Q23" s="438"/>
      <c r="R23" s="437">
        <f>'Data Record'!S26</f>
        <v>1.5E-3</v>
      </c>
      <c r="S23" s="438"/>
      <c r="T23" s="437">
        <f>'Data Record'!U26</f>
        <v>0.5</v>
      </c>
      <c r="U23" s="438"/>
      <c r="V23" s="437">
        <f>'Data Record'!W26</f>
        <v>1E-3</v>
      </c>
      <c r="W23" s="438"/>
      <c r="X23" s="338"/>
      <c r="Y23" s="211"/>
      <c r="Z23" s="338"/>
      <c r="AA23" s="338"/>
      <c r="AB23" s="211"/>
      <c r="AC23" s="338"/>
      <c r="AD23" s="338"/>
      <c r="AE23" s="211"/>
      <c r="AF23" s="338"/>
      <c r="AG23" s="338"/>
    </row>
    <row r="24" spans="2:41" ht="21" customHeight="1">
      <c r="B24" s="367">
        <v>2</v>
      </c>
      <c r="C24" s="368"/>
      <c r="D24" s="437">
        <f>'Data Record'!E27</f>
        <v>0.5</v>
      </c>
      <c r="E24" s="438"/>
      <c r="F24" s="437">
        <f>'Data Record'!G27</f>
        <v>1</v>
      </c>
      <c r="G24" s="438"/>
      <c r="H24" s="437">
        <f>'Data Record'!I27</f>
        <v>-1</v>
      </c>
      <c r="I24" s="438"/>
      <c r="J24" s="437">
        <f>'Data Record'!K27</f>
        <v>-0.5</v>
      </c>
      <c r="K24" s="438"/>
      <c r="L24" s="437">
        <f>'Data Record'!M27</f>
        <v>1E-3</v>
      </c>
      <c r="M24" s="438"/>
      <c r="N24" s="437">
        <f>'Data Record'!O27</f>
        <v>0.5</v>
      </c>
      <c r="O24" s="438"/>
      <c r="P24" s="437">
        <f>'Data Record'!Q27</f>
        <v>-1</v>
      </c>
      <c r="Q24" s="438"/>
      <c r="R24" s="437">
        <f>'Data Record'!S27</f>
        <v>0</v>
      </c>
      <c r="S24" s="438"/>
      <c r="T24" s="437">
        <f>'Data Record'!U27</f>
        <v>1</v>
      </c>
      <c r="U24" s="438"/>
      <c r="V24" s="437">
        <f>'Data Record'!W27</f>
        <v>1E-3</v>
      </c>
      <c r="W24" s="438"/>
      <c r="X24" s="338"/>
      <c r="Y24" s="211"/>
      <c r="Z24" s="338"/>
      <c r="AA24" s="338"/>
      <c r="AB24" s="211"/>
      <c r="AC24" s="338"/>
      <c r="AD24" s="338"/>
      <c r="AE24" s="211"/>
      <c r="AF24" s="338"/>
      <c r="AG24" s="338"/>
    </row>
    <row r="25" spans="2:41" ht="18" customHeight="1">
      <c r="B25" s="367">
        <v>3</v>
      </c>
      <c r="C25" s="368"/>
      <c r="D25" s="437">
        <f>'Data Record'!E28</f>
        <v>0.5</v>
      </c>
      <c r="E25" s="438"/>
      <c r="F25" s="437">
        <f>'Data Record'!G28</f>
        <v>1</v>
      </c>
      <c r="G25" s="438"/>
      <c r="H25" s="437">
        <f>'Data Record'!I28</f>
        <v>1E-3</v>
      </c>
      <c r="I25" s="438"/>
      <c r="J25" s="437">
        <f>'Data Record'!K28</f>
        <v>0.5</v>
      </c>
      <c r="K25" s="438"/>
      <c r="L25" s="437">
        <f>'Data Record'!M28</f>
        <v>1</v>
      </c>
      <c r="M25" s="438"/>
      <c r="N25" s="437">
        <f>'Data Record'!O28</f>
        <v>1</v>
      </c>
      <c r="O25" s="438"/>
      <c r="P25" s="437">
        <f>'Data Record'!Q28</f>
        <v>-0.5</v>
      </c>
      <c r="Q25" s="438"/>
      <c r="R25" s="437">
        <f>'Data Record'!S28</f>
        <v>1.5E-3</v>
      </c>
      <c r="S25" s="438"/>
      <c r="T25" s="437">
        <f>'Data Record'!U28</f>
        <v>1</v>
      </c>
      <c r="U25" s="438"/>
      <c r="V25" s="437">
        <f>'Data Record'!W28</f>
        <v>1E-3</v>
      </c>
      <c r="W25" s="438"/>
      <c r="X25" s="338"/>
      <c r="Y25" s="211"/>
      <c r="Z25" s="338"/>
      <c r="AA25" s="338"/>
      <c r="AB25" s="211"/>
      <c r="AC25" s="338"/>
      <c r="AD25" s="338"/>
      <c r="AE25" s="211"/>
      <c r="AF25" s="338"/>
      <c r="AG25" s="338"/>
    </row>
    <row r="26" spans="2:41" ht="18" customHeight="1">
      <c r="B26" s="367">
        <v>4</v>
      </c>
      <c r="C26" s="368"/>
      <c r="D26" s="437">
        <f>'Data Record'!E29</f>
        <v>-0.5</v>
      </c>
      <c r="E26" s="438"/>
      <c r="F26" s="437">
        <f>'Data Record'!G29</f>
        <v>0.5</v>
      </c>
      <c r="G26" s="438"/>
      <c r="H26" s="437">
        <f>'Data Record'!I29</f>
        <v>1E-3</v>
      </c>
      <c r="I26" s="438"/>
      <c r="J26" s="437">
        <f>'Data Record'!K29</f>
        <v>1.5E-3</v>
      </c>
      <c r="K26" s="438"/>
      <c r="L26" s="437">
        <f>'Data Record'!M29</f>
        <v>0.5</v>
      </c>
      <c r="M26" s="438"/>
      <c r="N26" s="437">
        <f>'Data Record'!O29</f>
        <v>-0.5</v>
      </c>
      <c r="O26" s="438"/>
      <c r="P26" s="437">
        <f>'Data Record'!Q29</f>
        <v>-0.5</v>
      </c>
      <c r="Q26" s="438"/>
      <c r="R26" s="437">
        <f>'Data Record'!S29</f>
        <v>1</v>
      </c>
      <c r="S26" s="438"/>
      <c r="T26" s="437">
        <f>'Data Record'!U29</f>
        <v>0</v>
      </c>
      <c r="U26" s="438"/>
      <c r="V26" s="437">
        <f>'Data Record'!W29</f>
        <v>-0.5</v>
      </c>
      <c r="W26" s="438"/>
      <c r="X26" s="222"/>
    </row>
    <row r="27" spans="2:41" ht="18" customHeight="1">
      <c r="B27" s="367">
        <v>5</v>
      </c>
      <c r="C27" s="368"/>
      <c r="D27" s="437">
        <f>'Data Record'!E31</f>
        <v>0.5</v>
      </c>
      <c r="E27" s="438"/>
      <c r="F27" s="437">
        <f>'Data Record'!G30</f>
        <v>1</v>
      </c>
      <c r="G27" s="438"/>
      <c r="H27" s="437">
        <f>'Data Record'!I30</f>
        <v>0</v>
      </c>
      <c r="I27" s="438"/>
      <c r="J27" s="437">
        <f>'Data Record'!K30</f>
        <v>-0.5</v>
      </c>
      <c r="K27" s="438"/>
      <c r="L27" s="437">
        <f>'Data Record'!M30</f>
        <v>0</v>
      </c>
      <c r="M27" s="438"/>
      <c r="N27" s="437">
        <f>'Data Record'!O30</f>
        <v>0</v>
      </c>
      <c r="O27" s="438"/>
      <c r="P27" s="437">
        <f>'Data Record'!Q30</f>
        <v>-0.5</v>
      </c>
      <c r="Q27" s="438"/>
      <c r="R27" s="437">
        <f>'Data Record'!S30</f>
        <v>0</v>
      </c>
      <c r="S27" s="438"/>
      <c r="T27" s="437">
        <f>'Data Record'!U30</f>
        <v>-0.5</v>
      </c>
      <c r="U27" s="438"/>
      <c r="V27" s="437">
        <f>'Data Record'!W30</f>
        <v>-0.5</v>
      </c>
      <c r="W27" s="438"/>
      <c r="X27" s="222"/>
      <c r="Y27" s="223"/>
      <c r="Z27" s="224"/>
    </row>
    <row r="28" spans="2:41" ht="18" customHeight="1">
      <c r="B28" s="367">
        <v>6</v>
      </c>
      <c r="C28" s="368"/>
      <c r="D28" s="437">
        <v>1E-3</v>
      </c>
      <c r="E28" s="438"/>
      <c r="F28" s="437">
        <f>'Data Record'!G31</f>
        <v>1.5E-3</v>
      </c>
      <c r="G28" s="438"/>
      <c r="H28" s="437">
        <f>'Data Record'!I31</f>
        <v>-0.5</v>
      </c>
      <c r="I28" s="438"/>
      <c r="J28" s="437">
        <f>'Data Record'!K31</f>
        <v>1.5E-3</v>
      </c>
      <c r="K28" s="438"/>
      <c r="L28" s="437">
        <f>'Data Record'!M31</f>
        <v>1E-3</v>
      </c>
      <c r="M28" s="438"/>
      <c r="N28" s="437">
        <f>'Data Record'!O31</f>
        <v>0.5</v>
      </c>
      <c r="O28" s="438"/>
      <c r="P28" s="437">
        <f>'Data Record'!Q31</f>
        <v>1E-3</v>
      </c>
      <c r="Q28" s="438"/>
      <c r="R28" s="437">
        <f>'Data Record'!S31</f>
        <v>1.5E-3</v>
      </c>
      <c r="S28" s="438"/>
      <c r="T28" s="437">
        <f>'Data Record'!U31</f>
        <v>1E-3</v>
      </c>
      <c r="U28" s="438"/>
      <c r="V28" s="437">
        <f>'Data Record'!W31</f>
        <v>1E-3</v>
      </c>
      <c r="W28" s="438"/>
      <c r="X28" s="225"/>
      <c r="Y28" s="225"/>
      <c r="Z28" s="225"/>
      <c r="AA28" s="225"/>
      <c r="AB28" s="225"/>
      <c r="AC28" s="225"/>
      <c r="AD28" s="225"/>
      <c r="AN28" s="225"/>
      <c r="AO28" s="225"/>
    </row>
    <row r="29" spans="2:41" ht="18" customHeight="1">
      <c r="B29" s="342" t="s">
        <v>166</v>
      </c>
      <c r="C29" s="343"/>
      <c r="D29" s="343"/>
      <c r="E29" s="344"/>
      <c r="F29" s="434">
        <f>MAX(D23:W28)</f>
        <v>1</v>
      </c>
      <c r="G29" s="435"/>
      <c r="H29" s="259"/>
      <c r="I29" s="259"/>
      <c r="J29" s="260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25"/>
      <c r="X29" s="225"/>
      <c r="Y29" s="225"/>
      <c r="Z29" s="225"/>
      <c r="AA29" s="225"/>
      <c r="AB29" s="225"/>
      <c r="AC29" s="225"/>
      <c r="AD29" s="225"/>
      <c r="AN29" s="225"/>
      <c r="AO29" s="225"/>
    </row>
    <row r="30" spans="2:41" ht="18" customHeight="1">
      <c r="H30" s="259"/>
      <c r="I30" s="259"/>
      <c r="J30" s="260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345"/>
      <c r="X30" s="345"/>
      <c r="Y30" s="345"/>
      <c r="Z30" s="345"/>
      <c r="AA30" s="345"/>
      <c r="AB30" s="345"/>
      <c r="AC30" s="345"/>
      <c r="AD30" s="211"/>
      <c r="AN30" s="346"/>
      <c r="AO30" s="346"/>
    </row>
    <row r="31" spans="2:41" ht="18" customHeight="1">
      <c r="B31" s="214" t="s">
        <v>168</v>
      </c>
      <c r="E31" s="339"/>
      <c r="F31" s="339"/>
      <c r="G31" s="339"/>
      <c r="H31" s="259"/>
      <c r="I31" s="340" t="s">
        <v>169</v>
      </c>
      <c r="J31" s="341">
        <f>'Uncertainty Budget(CMC)'!K19</f>
        <v>1.0227940819610788</v>
      </c>
      <c r="K31" s="211" t="s">
        <v>16</v>
      </c>
      <c r="M31" s="211"/>
      <c r="N31" s="211"/>
      <c r="O31" s="211"/>
      <c r="P31" s="211"/>
      <c r="Q31" s="211"/>
      <c r="R31" s="211"/>
      <c r="S31" s="225"/>
      <c r="T31" s="225"/>
      <c r="U31" s="225"/>
      <c r="Y31" s="211"/>
      <c r="Z31" s="211"/>
    </row>
    <row r="32" spans="2:41" ht="18" customHeight="1">
      <c r="Y32" s="211"/>
    </row>
    <row r="33" spans="1:41" ht="23.1" customHeight="1">
      <c r="B33" s="215" t="s">
        <v>139</v>
      </c>
      <c r="D33" s="228"/>
      <c r="E33" s="228"/>
      <c r="F33" s="228"/>
      <c r="G33" s="228"/>
      <c r="H33" s="228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9"/>
      <c r="V33" s="229"/>
      <c r="W33" s="224"/>
      <c r="X33" s="226"/>
      <c r="Y33" s="211"/>
      <c r="Z33" s="211"/>
      <c r="AM33" s="214"/>
      <c r="AN33" s="214"/>
      <c r="AO33" s="214"/>
    </row>
    <row r="34" spans="1:41" ht="18" customHeight="1">
      <c r="B34" s="439" t="s">
        <v>140</v>
      </c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39"/>
      <c r="O34" s="439"/>
      <c r="P34" s="439"/>
      <c r="Q34" s="439"/>
      <c r="R34" s="439"/>
      <c r="S34" s="439"/>
      <c r="T34" s="439"/>
      <c r="U34" s="439"/>
      <c r="V34" s="439"/>
      <c r="W34" s="439"/>
      <c r="X34" s="227"/>
      <c r="Z34" s="211"/>
      <c r="AM34" s="214"/>
      <c r="AN34" s="214"/>
      <c r="AO34" s="214"/>
    </row>
    <row r="35" spans="1:41" ht="18" customHeight="1">
      <c r="A35" s="439" t="s">
        <v>141</v>
      </c>
      <c r="B35" s="439"/>
      <c r="C35" s="439"/>
      <c r="D35" s="439"/>
      <c r="E35" s="439"/>
      <c r="F35" s="439"/>
      <c r="G35" s="439"/>
      <c r="H35" s="439"/>
      <c r="I35" s="439"/>
      <c r="J35" s="439"/>
      <c r="K35" s="439"/>
      <c r="L35" s="439"/>
      <c r="M35" s="439"/>
      <c r="N35" s="439"/>
      <c r="O35" s="439"/>
      <c r="P35" s="439"/>
      <c r="Q35" s="439"/>
      <c r="R35" s="439"/>
      <c r="S35" s="439"/>
      <c r="T35" s="439"/>
      <c r="U35" s="439"/>
      <c r="V35" s="439"/>
      <c r="W35" s="439"/>
      <c r="X35" s="227"/>
      <c r="Z35" s="211"/>
      <c r="AM35" s="214"/>
      <c r="AN35" s="214"/>
      <c r="AO35" s="214"/>
    </row>
    <row r="36" spans="1:41" ht="18" customHeight="1">
      <c r="A36" s="436" t="s">
        <v>142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227"/>
      <c r="Z36" s="211"/>
      <c r="AM36" s="214"/>
      <c r="AN36" s="214"/>
      <c r="AO36" s="214"/>
    </row>
    <row r="37" spans="1:41" ht="18" customHeight="1">
      <c r="Y37" s="211"/>
      <c r="Z37" s="211"/>
      <c r="AM37" s="214"/>
      <c r="AN37" s="214"/>
      <c r="AO37" s="214"/>
    </row>
    <row r="38" spans="1:41" ht="18" customHeight="1">
      <c r="Y38" s="211"/>
      <c r="Z38" s="211"/>
      <c r="AM38" s="214"/>
      <c r="AN38" s="214"/>
      <c r="AO38" s="214"/>
    </row>
    <row r="39" spans="1:41" ht="18" customHeight="1">
      <c r="AM39" s="214"/>
      <c r="AN39" s="214"/>
      <c r="AO39" s="214"/>
    </row>
    <row r="40" spans="1:41" ht="18" customHeight="1">
      <c r="AM40" s="214"/>
      <c r="AN40" s="214"/>
      <c r="AO40" s="214"/>
    </row>
    <row r="41" spans="1:41" ht="18" customHeight="1">
      <c r="AM41" s="214"/>
      <c r="AN41" s="214"/>
      <c r="AO41" s="214"/>
    </row>
    <row r="42" spans="1:41" ht="18" customHeight="1">
      <c r="AM42" s="214"/>
      <c r="AN42" s="214"/>
      <c r="AO42" s="214"/>
    </row>
    <row r="43" spans="1:41" ht="18" customHeight="1">
      <c r="AM43" s="214"/>
      <c r="AN43" s="214"/>
      <c r="AO43" s="214"/>
    </row>
    <row r="44" spans="1:41" ht="18" customHeight="1">
      <c r="AM44" s="214"/>
      <c r="AN44" s="214"/>
      <c r="AO44" s="214"/>
    </row>
    <row r="45" spans="1:41" ht="18" customHeight="1">
      <c r="AM45" s="214"/>
      <c r="AN45" s="214"/>
      <c r="AO45" s="214"/>
    </row>
    <row r="46" spans="1:41" ht="18" customHeight="1">
      <c r="AM46" s="214"/>
      <c r="AN46" s="214"/>
      <c r="AO46" s="214"/>
    </row>
    <row r="47" spans="1:41" ht="18" customHeight="1">
      <c r="AM47" s="214"/>
      <c r="AN47" s="214"/>
      <c r="AO47" s="214"/>
    </row>
    <row r="48" spans="1:41" ht="18" customHeight="1">
      <c r="AM48" s="214"/>
      <c r="AN48" s="214"/>
      <c r="AO48" s="214"/>
    </row>
    <row r="49" spans="39:41" ht="18" customHeight="1">
      <c r="AM49" s="214"/>
      <c r="AN49" s="214"/>
      <c r="AO49" s="214"/>
    </row>
    <row r="50" spans="39:41" ht="18" customHeight="1">
      <c r="AM50" s="214"/>
      <c r="AN50" s="214"/>
      <c r="AO50" s="214"/>
    </row>
    <row r="51" spans="39:41" ht="18" customHeight="1">
      <c r="AM51" s="214"/>
      <c r="AN51" s="214"/>
      <c r="AO51" s="214"/>
    </row>
    <row r="52" spans="39:41" ht="18" customHeight="1">
      <c r="AM52" s="214"/>
      <c r="AN52" s="214"/>
      <c r="AO52" s="214"/>
    </row>
    <row r="53" spans="39:41" ht="18" customHeight="1">
      <c r="AM53" s="214"/>
      <c r="AN53" s="214"/>
      <c r="AO53" s="214"/>
    </row>
    <row r="54" spans="39:41" ht="18" customHeight="1">
      <c r="AM54" s="214"/>
      <c r="AN54" s="214"/>
      <c r="AO54" s="214"/>
    </row>
    <row r="55" spans="39:41" ht="18" customHeight="1">
      <c r="AM55" s="214"/>
      <c r="AN55" s="214"/>
      <c r="AO55" s="214"/>
    </row>
    <row r="56" spans="39:41" ht="18" customHeight="1">
      <c r="AM56" s="214"/>
      <c r="AN56" s="214"/>
      <c r="AO56" s="214"/>
    </row>
    <row r="57" spans="39:41" ht="18" customHeight="1">
      <c r="AM57" s="214"/>
      <c r="AN57" s="214"/>
      <c r="AO57" s="214"/>
    </row>
    <row r="58" spans="39:41" ht="18" customHeight="1">
      <c r="AM58" s="214"/>
      <c r="AN58" s="214"/>
      <c r="AO58" s="214"/>
    </row>
    <row r="59" spans="39:41" ht="18" customHeight="1">
      <c r="AM59" s="214"/>
      <c r="AN59" s="214"/>
      <c r="AO59" s="214"/>
    </row>
    <row r="60" spans="39:41" ht="18" customHeight="1">
      <c r="AM60" s="214"/>
      <c r="AN60" s="214"/>
      <c r="AO60" s="214"/>
    </row>
    <row r="61" spans="39:41" ht="18" customHeight="1">
      <c r="AM61" s="214"/>
      <c r="AN61" s="214"/>
      <c r="AO61" s="214"/>
    </row>
    <row r="62" spans="39:41" ht="18" customHeight="1">
      <c r="AM62" s="214"/>
      <c r="AN62" s="214"/>
      <c r="AO62" s="214"/>
    </row>
    <row r="63" spans="39:41" ht="18" customHeight="1">
      <c r="AM63" s="214"/>
      <c r="AN63" s="214"/>
      <c r="AO63" s="214"/>
    </row>
    <row r="64" spans="39:41" ht="18" customHeight="1">
      <c r="AM64" s="214"/>
      <c r="AN64" s="214"/>
      <c r="AO64" s="214"/>
    </row>
    <row r="65" spans="39:41" ht="18" customHeight="1">
      <c r="AM65" s="214"/>
      <c r="AN65" s="214"/>
      <c r="AO65" s="214"/>
    </row>
    <row r="66" spans="39:41" ht="18" customHeight="1">
      <c r="AM66" s="214"/>
      <c r="AN66" s="214"/>
      <c r="AO66" s="214"/>
    </row>
    <row r="67" spans="39:41" ht="18" customHeight="1">
      <c r="AM67" s="214"/>
      <c r="AN67" s="214"/>
      <c r="AO67" s="214"/>
    </row>
    <row r="68" spans="39:41" ht="18" customHeight="1">
      <c r="AM68" s="214"/>
      <c r="AN68" s="214"/>
      <c r="AO68" s="214"/>
    </row>
    <row r="69" spans="39:41" ht="18" customHeight="1">
      <c r="AM69" s="214"/>
      <c r="AN69" s="214"/>
      <c r="AO69" s="214"/>
    </row>
    <row r="70" spans="39:41" ht="18" customHeight="1">
      <c r="AM70" s="214"/>
      <c r="AN70" s="214"/>
      <c r="AO70" s="214"/>
    </row>
    <row r="71" spans="39:41" ht="18" customHeight="1">
      <c r="AM71" s="214"/>
      <c r="AN71" s="214"/>
      <c r="AO71" s="214"/>
    </row>
    <row r="72" spans="39:41" ht="18" customHeight="1">
      <c r="AM72" s="214"/>
      <c r="AN72" s="214"/>
      <c r="AO72" s="214"/>
    </row>
    <row r="73" spans="39:41" ht="18" customHeight="1">
      <c r="AM73" s="214"/>
      <c r="AN73" s="214"/>
      <c r="AO73" s="214"/>
    </row>
  </sheetData>
  <mergeCells count="83">
    <mergeCell ref="A35:W35"/>
    <mergeCell ref="B34:W34"/>
    <mergeCell ref="B3:W3"/>
    <mergeCell ref="S5:V5"/>
    <mergeCell ref="H26:I26"/>
    <mergeCell ref="H27:I27"/>
    <mergeCell ref="H28:I28"/>
    <mergeCell ref="D22:E22"/>
    <mergeCell ref="N23:O23"/>
    <mergeCell ref="L22:M22"/>
    <mergeCell ref="J22:K22"/>
    <mergeCell ref="H22:I22"/>
    <mergeCell ref="F22:G22"/>
    <mergeCell ref="F28:G28"/>
    <mergeCell ref="F27:G27"/>
    <mergeCell ref="F26:G26"/>
    <mergeCell ref="F25:G25"/>
    <mergeCell ref="V22:W22"/>
    <mergeCell ref="T22:U22"/>
    <mergeCell ref="R22:S22"/>
    <mergeCell ref="P22:Q22"/>
    <mergeCell ref="N22:O22"/>
    <mergeCell ref="T23:U23"/>
    <mergeCell ref="V23:W23"/>
    <mergeCell ref="L23:M23"/>
    <mergeCell ref="B22:C22"/>
    <mergeCell ref="J28:K28"/>
    <mergeCell ref="J27:K27"/>
    <mergeCell ref="J26:K26"/>
    <mergeCell ref="J25:K25"/>
    <mergeCell ref="J24:K24"/>
    <mergeCell ref="J23:K23"/>
    <mergeCell ref="H25:I25"/>
    <mergeCell ref="H24:I24"/>
    <mergeCell ref="H23:I23"/>
    <mergeCell ref="B23:C23"/>
    <mergeCell ref="F24:G24"/>
    <mergeCell ref="F23:G23"/>
    <mergeCell ref="D28:E28"/>
    <mergeCell ref="D27:E27"/>
    <mergeCell ref="D26:E26"/>
    <mergeCell ref="D25:E25"/>
    <mergeCell ref="D24:E24"/>
    <mergeCell ref="D23:E23"/>
    <mergeCell ref="B28:C28"/>
    <mergeCell ref="B27:C27"/>
    <mergeCell ref="B26:C26"/>
    <mergeCell ref="B25:C25"/>
    <mergeCell ref="B24:C24"/>
    <mergeCell ref="V28:W28"/>
    <mergeCell ref="V27:W27"/>
    <mergeCell ref="V26:W26"/>
    <mergeCell ref="V25:W25"/>
    <mergeCell ref="V24:W24"/>
    <mergeCell ref="T28:U28"/>
    <mergeCell ref="T27:U27"/>
    <mergeCell ref="T26:U26"/>
    <mergeCell ref="T25:U25"/>
    <mergeCell ref="T24:U24"/>
    <mergeCell ref="P24:Q24"/>
    <mergeCell ref="P23:Q23"/>
    <mergeCell ref="R28:S28"/>
    <mergeCell ref="R27:S27"/>
    <mergeCell ref="R26:S26"/>
    <mergeCell ref="R25:S25"/>
    <mergeCell ref="R24:S24"/>
    <mergeCell ref="R23:S23"/>
    <mergeCell ref="F29:G29"/>
    <mergeCell ref="A36:W36"/>
    <mergeCell ref="N24:O24"/>
    <mergeCell ref="N25:O25"/>
    <mergeCell ref="N26:O26"/>
    <mergeCell ref="N27:O27"/>
    <mergeCell ref="N28:O28"/>
    <mergeCell ref="L28:M28"/>
    <mergeCell ref="L27:M27"/>
    <mergeCell ref="L26:M26"/>
    <mergeCell ref="L25:M25"/>
    <mergeCell ref="L24:M24"/>
    <mergeCell ref="P28:Q28"/>
    <mergeCell ref="P27:Q27"/>
    <mergeCell ref="P26:Q26"/>
    <mergeCell ref="P25:Q25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&amp;R&amp;"Cordia New,Regular"&amp;14SP-FM-04-15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AR117"/>
  <sheetViews>
    <sheetView zoomScaleNormal="100" zoomScaleSheetLayoutView="100" workbookViewId="0">
      <selection activeCell="P17" sqref="P17"/>
    </sheetView>
  </sheetViews>
  <sheetFormatPr defaultRowHeight="15"/>
  <cols>
    <col min="1" max="1" width="1.140625" style="2" customWidth="1"/>
    <col min="2" max="10" width="7.5703125" style="2" customWidth="1"/>
    <col min="11" max="12" width="7.5703125" style="95" customWidth="1"/>
    <col min="13" max="14" width="7.5703125" style="2" customWidth="1"/>
    <col min="15" max="19" width="7.140625" style="2" customWidth="1"/>
    <col min="20" max="20" width="4.42578125" style="2" customWidth="1"/>
    <col min="21" max="22" width="7.5703125" style="2" customWidth="1"/>
    <col min="23" max="28" width="7.5703125" customWidth="1"/>
    <col min="29" max="50" width="7.5703125" style="2" customWidth="1"/>
    <col min="51" max="257" width="9" style="2"/>
    <col min="258" max="258" width="1.140625" style="2" customWidth="1"/>
    <col min="259" max="259" width="7.5703125" style="2" customWidth="1"/>
    <col min="260" max="274" width="7.140625" style="2" customWidth="1"/>
    <col min="275" max="276" width="1.42578125" style="2" customWidth="1"/>
    <col min="277" max="277" width="6.42578125" style="2" customWidth="1"/>
    <col min="278" max="279" width="8.7109375" style="2" bestFit="1" customWidth="1"/>
    <col min="280" max="513" width="9" style="2"/>
    <col min="514" max="514" width="1.140625" style="2" customWidth="1"/>
    <col min="515" max="515" width="7.5703125" style="2" customWidth="1"/>
    <col min="516" max="530" width="7.140625" style="2" customWidth="1"/>
    <col min="531" max="532" width="1.42578125" style="2" customWidth="1"/>
    <col min="533" max="533" width="6.42578125" style="2" customWidth="1"/>
    <col min="534" max="535" width="8.7109375" style="2" bestFit="1" customWidth="1"/>
    <col min="536" max="769" width="9" style="2"/>
    <col min="770" max="770" width="1.140625" style="2" customWidth="1"/>
    <col min="771" max="771" width="7.5703125" style="2" customWidth="1"/>
    <col min="772" max="786" width="7.140625" style="2" customWidth="1"/>
    <col min="787" max="788" width="1.42578125" style="2" customWidth="1"/>
    <col min="789" max="789" width="6.42578125" style="2" customWidth="1"/>
    <col min="790" max="791" width="8.7109375" style="2" bestFit="1" customWidth="1"/>
    <col min="792" max="1025" width="9" style="2"/>
    <col min="1026" max="1026" width="1.140625" style="2" customWidth="1"/>
    <col min="1027" max="1027" width="7.5703125" style="2" customWidth="1"/>
    <col min="1028" max="1042" width="7.140625" style="2" customWidth="1"/>
    <col min="1043" max="1044" width="1.42578125" style="2" customWidth="1"/>
    <col min="1045" max="1045" width="6.42578125" style="2" customWidth="1"/>
    <col min="1046" max="1047" width="8.7109375" style="2" bestFit="1" customWidth="1"/>
    <col min="1048" max="1281" width="9" style="2"/>
    <col min="1282" max="1282" width="1.140625" style="2" customWidth="1"/>
    <col min="1283" max="1283" width="7.5703125" style="2" customWidth="1"/>
    <col min="1284" max="1298" width="7.140625" style="2" customWidth="1"/>
    <col min="1299" max="1300" width="1.42578125" style="2" customWidth="1"/>
    <col min="1301" max="1301" width="6.42578125" style="2" customWidth="1"/>
    <col min="1302" max="1303" width="8.7109375" style="2" bestFit="1" customWidth="1"/>
    <col min="1304" max="1537" width="9" style="2"/>
    <col min="1538" max="1538" width="1.140625" style="2" customWidth="1"/>
    <col min="1539" max="1539" width="7.5703125" style="2" customWidth="1"/>
    <col min="1540" max="1554" width="7.140625" style="2" customWidth="1"/>
    <col min="1555" max="1556" width="1.42578125" style="2" customWidth="1"/>
    <col min="1557" max="1557" width="6.42578125" style="2" customWidth="1"/>
    <col min="1558" max="1559" width="8.7109375" style="2" bestFit="1" customWidth="1"/>
    <col min="1560" max="1793" width="9" style="2"/>
    <col min="1794" max="1794" width="1.140625" style="2" customWidth="1"/>
    <col min="1795" max="1795" width="7.5703125" style="2" customWidth="1"/>
    <col min="1796" max="1810" width="7.140625" style="2" customWidth="1"/>
    <col min="1811" max="1812" width="1.42578125" style="2" customWidth="1"/>
    <col min="1813" max="1813" width="6.42578125" style="2" customWidth="1"/>
    <col min="1814" max="1815" width="8.7109375" style="2" bestFit="1" customWidth="1"/>
    <col min="1816" max="2049" width="9" style="2"/>
    <col min="2050" max="2050" width="1.140625" style="2" customWidth="1"/>
    <col min="2051" max="2051" width="7.5703125" style="2" customWidth="1"/>
    <col min="2052" max="2066" width="7.140625" style="2" customWidth="1"/>
    <col min="2067" max="2068" width="1.42578125" style="2" customWidth="1"/>
    <col min="2069" max="2069" width="6.42578125" style="2" customWidth="1"/>
    <col min="2070" max="2071" width="8.7109375" style="2" bestFit="1" customWidth="1"/>
    <col min="2072" max="2305" width="9" style="2"/>
    <col min="2306" max="2306" width="1.140625" style="2" customWidth="1"/>
    <col min="2307" max="2307" width="7.5703125" style="2" customWidth="1"/>
    <col min="2308" max="2322" width="7.140625" style="2" customWidth="1"/>
    <col min="2323" max="2324" width="1.42578125" style="2" customWidth="1"/>
    <col min="2325" max="2325" width="6.42578125" style="2" customWidth="1"/>
    <col min="2326" max="2327" width="8.7109375" style="2" bestFit="1" customWidth="1"/>
    <col min="2328" max="2561" width="9" style="2"/>
    <col min="2562" max="2562" width="1.140625" style="2" customWidth="1"/>
    <col min="2563" max="2563" width="7.5703125" style="2" customWidth="1"/>
    <col min="2564" max="2578" width="7.140625" style="2" customWidth="1"/>
    <col min="2579" max="2580" width="1.42578125" style="2" customWidth="1"/>
    <col min="2581" max="2581" width="6.42578125" style="2" customWidth="1"/>
    <col min="2582" max="2583" width="8.7109375" style="2" bestFit="1" customWidth="1"/>
    <col min="2584" max="2817" width="9" style="2"/>
    <col min="2818" max="2818" width="1.140625" style="2" customWidth="1"/>
    <col min="2819" max="2819" width="7.5703125" style="2" customWidth="1"/>
    <col min="2820" max="2834" width="7.140625" style="2" customWidth="1"/>
    <col min="2835" max="2836" width="1.42578125" style="2" customWidth="1"/>
    <col min="2837" max="2837" width="6.42578125" style="2" customWidth="1"/>
    <col min="2838" max="2839" width="8.7109375" style="2" bestFit="1" customWidth="1"/>
    <col min="2840" max="3073" width="9" style="2"/>
    <col min="3074" max="3074" width="1.140625" style="2" customWidth="1"/>
    <col min="3075" max="3075" width="7.5703125" style="2" customWidth="1"/>
    <col min="3076" max="3090" width="7.140625" style="2" customWidth="1"/>
    <col min="3091" max="3092" width="1.42578125" style="2" customWidth="1"/>
    <col min="3093" max="3093" width="6.42578125" style="2" customWidth="1"/>
    <col min="3094" max="3095" width="8.7109375" style="2" bestFit="1" customWidth="1"/>
    <col min="3096" max="3329" width="9" style="2"/>
    <col min="3330" max="3330" width="1.140625" style="2" customWidth="1"/>
    <col min="3331" max="3331" width="7.5703125" style="2" customWidth="1"/>
    <col min="3332" max="3346" width="7.140625" style="2" customWidth="1"/>
    <col min="3347" max="3348" width="1.42578125" style="2" customWidth="1"/>
    <col min="3349" max="3349" width="6.42578125" style="2" customWidth="1"/>
    <col min="3350" max="3351" width="8.7109375" style="2" bestFit="1" customWidth="1"/>
    <col min="3352" max="3585" width="9" style="2"/>
    <col min="3586" max="3586" width="1.140625" style="2" customWidth="1"/>
    <col min="3587" max="3587" width="7.5703125" style="2" customWidth="1"/>
    <col min="3588" max="3602" width="7.140625" style="2" customWidth="1"/>
    <col min="3603" max="3604" width="1.42578125" style="2" customWidth="1"/>
    <col min="3605" max="3605" width="6.42578125" style="2" customWidth="1"/>
    <col min="3606" max="3607" width="8.7109375" style="2" bestFit="1" customWidth="1"/>
    <col min="3608" max="3841" width="9" style="2"/>
    <col min="3842" max="3842" width="1.140625" style="2" customWidth="1"/>
    <col min="3843" max="3843" width="7.5703125" style="2" customWidth="1"/>
    <col min="3844" max="3858" width="7.140625" style="2" customWidth="1"/>
    <col min="3859" max="3860" width="1.42578125" style="2" customWidth="1"/>
    <col min="3861" max="3861" width="6.42578125" style="2" customWidth="1"/>
    <col min="3862" max="3863" width="8.7109375" style="2" bestFit="1" customWidth="1"/>
    <col min="3864" max="4097" width="9" style="2"/>
    <col min="4098" max="4098" width="1.140625" style="2" customWidth="1"/>
    <col min="4099" max="4099" width="7.5703125" style="2" customWidth="1"/>
    <col min="4100" max="4114" width="7.140625" style="2" customWidth="1"/>
    <col min="4115" max="4116" width="1.42578125" style="2" customWidth="1"/>
    <col min="4117" max="4117" width="6.42578125" style="2" customWidth="1"/>
    <col min="4118" max="4119" width="8.7109375" style="2" bestFit="1" customWidth="1"/>
    <col min="4120" max="4353" width="9" style="2"/>
    <col min="4354" max="4354" width="1.140625" style="2" customWidth="1"/>
    <col min="4355" max="4355" width="7.5703125" style="2" customWidth="1"/>
    <col min="4356" max="4370" width="7.140625" style="2" customWidth="1"/>
    <col min="4371" max="4372" width="1.42578125" style="2" customWidth="1"/>
    <col min="4373" max="4373" width="6.42578125" style="2" customWidth="1"/>
    <col min="4374" max="4375" width="8.7109375" style="2" bestFit="1" customWidth="1"/>
    <col min="4376" max="4609" width="9" style="2"/>
    <col min="4610" max="4610" width="1.140625" style="2" customWidth="1"/>
    <col min="4611" max="4611" width="7.5703125" style="2" customWidth="1"/>
    <col min="4612" max="4626" width="7.140625" style="2" customWidth="1"/>
    <col min="4627" max="4628" width="1.42578125" style="2" customWidth="1"/>
    <col min="4629" max="4629" width="6.42578125" style="2" customWidth="1"/>
    <col min="4630" max="4631" width="8.7109375" style="2" bestFit="1" customWidth="1"/>
    <col min="4632" max="4865" width="9" style="2"/>
    <col min="4866" max="4866" width="1.140625" style="2" customWidth="1"/>
    <col min="4867" max="4867" width="7.5703125" style="2" customWidth="1"/>
    <col min="4868" max="4882" width="7.140625" style="2" customWidth="1"/>
    <col min="4883" max="4884" width="1.42578125" style="2" customWidth="1"/>
    <col min="4885" max="4885" width="6.42578125" style="2" customWidth="1"/>
    <col min="4886" max="4887" width="8.7109375" style="2" bestFit="1" customWidth="1"/>
    <col min="4888" max="5121" width="9" style="2"/>
    <col min="5122" max="5122" width="1.140625" style="2" customWidth="1"/>
    <col min="5123" max="5123" width="7.5703125" style="2" customWidth="1"/>
    <col min="5124" max="5138" width="7.140625" style="2" customWidth="1"/>
    <col min="5139" max="5140" width="1.42578125" style="2" customWidth="1"/>
    <col min="5141" max="5141" width="6.42578125" style="2" customWidth="1"/>
    <col min="5142" max="5143" width="8.7109375" style="2" bestFit="1" customWidth="1"/>
    <col min="5144" max="5377" width="9" style="2"/>
    <col min="5378" max="5378" width="1.140625" style="2" customWidth="1"/>
    <col min="5379" max="5379" width="7.5703125" style="2" customWidth="1"/>
    <col min="5380" max="5394" width="7.140625" style="2" customWidth="1"/>
    <col min="5395" max="5396" width="1.42578125" style="2" customWidth="1"/>
    <col min="5397" max="5397" width="6.42578125" style="2" customWidth="1"/>
    <col min="5398" max="5399" width="8.7109375" style="2" bestFit="1" customWidth="1"/>
    <col min="5400" max="5633" width="9" style="2"/>
    <col min="5634" max="5634" width="1.140625" style="2" customWidth="1"/>
    <col min="5635" max="5635" width="7.5703125" style="2" customWidth="1"/>
    <col min="5636" max="5650" width="7.140625" style="2" customWidth="1"/>
    <col min="5651" max="5652" width="1.42578125" style="2" customWidth="1"/>
    <col min="5653" max="5653" width="6.42578125" style="2" customWidth="1"/>
    <col min="5654" max="5655" width="8.7109375" style="2" bestFit="1" customWidth="1"/>
    <col min="5656" max="5889" width="9" style="2"/>
    <col min="5890" max="5890" width="1.140625" style="2" customWidth="1"/>
    <col min="5891" max="5891" width="7.5703125" style="2" customWidth="1"/>
    <col min="5892" max="5906" width="7.140625" style="2" customWidth="1"/>
    <col min="5907" max="5908" width="1.42578125" style="2" customWidth="1"/>
    <col min="5909" max="5909" width="6.42578125" style="2" customWidth="1"/>
    <col min="5910" max="5911" width="8.7109375" style="2" bestFit="1" customWidth="1"/>
    <col min="5912" max="6145" width="9" style="2"/>
    <col min="6146" max="6146" width="1.140625" style="2" customWidth="1"/>
    <col min="6147" max="6147" width="7.5703125" style="2" customWidth="1"/>
    <col min="6148" max="6162" width="7.140625" style="2" customWidth="1"/>
    <col min="6163" max="6164" width="1.42578125" style="2" customWidth="1"/>
    <col min="6165" max="6165" width="6.42578125" style="2" customWidth="1"/>
    <col min="6166" max="6167" width="8.7109375" style="2" bestFit="1" customWidth="1"/>
    <col min="6168" max="6401" width="9" style="2"/>
    <col min="6402" max="6402" width="1.140625" style="2" customWidth="1"/>
    <col min="6403" max="6403" width="7.5703125" style="2" customWidth="1"/>
    <col min="6404" max="6418" width="7.140625" style="2" customWidth="1"/>
    <col min="6419" max="6420" width="1.42578125" style="2" customWidth="1"/>
    <col min="6421" max="6421" width="6.42578125" style="2" customWidth="1"/>
    <col min="6422" max="6423" width="8.7109375" style="2" bestFit="1" customWidth="1"/>
    <col min="6424" max="6657" width="9" style="2"/>
    <col min="6658" max="6658" width="1.140625" style="2" customWidth="1"/>
    <col min="6659" max="6659" width="7.5703125" style="2" customWidth="1"/>
    <col min="6660" max="6674" width="7.140625" style="2" customWidth="1"/>
    <col min="6675" max="6676" width="1.42578125" style="2" customWidth="1"/>
    <col min="6677" max="6677" width="6.42578125" style="2" customWidth="1"/>
    <col min="6678" max="6679" width="8.7109375" style="2" bestFit="1" customWidth="1"/>
    <col min="6680" max="6913" width="9" style="2"/>
    <col min="6914" max="6914" width="1.140625" style="2" customWidth="1"/>
    <col min="6915" max="6915" width="7.5703125" style="2" customWidth="1"/>
    <col min="6916" max="6930" width="7.140625" style="2" customWidth="1"/>
    <col min="6931" max="6932" width="1.42578125" style="2" customWidth="1"/>
    <col min="6933" max="6933" width="6.42578125" style="2" customWidth="1"/>
    <col min="6934" max="6935" width="8.7109375" style="2" bestFit="1" customWidth="1"/>
    <col min="6936" max="7169" width="9" style="2"/>
    <col min="7170" max="7170" width="1.140625" style="2" customWidth="1"/>
    <col min="7171" max="7171" width="7.5703125" style="2" customWidth="1"/>
    <col min="7172" max="7186" width="7.140625" style="2" customWidth="1"/>
    <col min="7187" max="7188" width="1.42578125" style="2" customWidth="1"/>
    <col min="7189" max="7189" width="6.42578125" style="2" customWidth="1"/>
    <col min="7190" max="7191" width="8.7109375" style="2" bestFit="1" customWidth="1"/>
    <col min="7192" max="7425" width="9" style="2"/>
    <col min="7426" max="7426" width="1.140625" style="2" customWidth="1"/>
    <col min="7427" max="7427" width="7.5703125" style="2" customWidth="1"/>
    <col min="7428" max="7442" width="7.140625" style="2" customWidth="1"/>
    <col min="7443" max="7444" width="1.42578125" style="2" customWidth="1"/>
    <col min="7445" max="7445" width="6.42578125" style="2" customWidth="1"/>
    <col min="7446" max="7447" width="8.7109375" style="2" bestFit="1" customWidth="1"/>
    <col min="7448" max="7681" width="9" style="2"/>
    <col min="7682" max="7682" width="1.140625" style="2" customWidth="1"/>
    <col min="7683" max="7683" width="7.5703125" style="2" customWidth="1"/>
    <col min="7684" max="7698" width="7.140625" style="2" customWidth="1"/>
    <col min="7699" max="7700" width="1.42578125" style="2" customWidth="1"/>
    <col min="7701" max="7701" width="6.42578125" style="2" customWidth="1"/>
    <col min="7702" max="7703" width="8.7109375" style="2" bestFit="1" customWidth="1"/>
    <col min="7704" max="7937" width="9" style="2"/>
    <col min="7938" max="7938" width="1.140625" style="2" customWidth="1"/>
    <col min="7939" max="7939" width="7.5703125" style="2" customWidth="1"/>
    <col min="7940" max="7954" width="7.140625" style="2" customWidth="1"/>
    <col min="7955" max="7956" width="1.42578125" style="2" customWidth="1"/>
    <col min="7957" max="7957" width="6.42578125" style="2" customWidth="1"/>
    <col min="7958" max="7959" width="8.7109375" style="2" bestFit="1" customWidth="1"/>
    <col min="7960" max="8193" width="9" style="2"/>
    <col min="8194" max="8194" width="1.140625" style="2" customWidth="1"/>
    <col min="8195" max="8195" width="7.5703125" style="2" customWidth="1"/>
    <col min="8196" max="8210" width="7.140625" style="2" customWidth="1"/>
    <col min="8211" max="8212" width="1.42578125" style="2" customWidth="1"/>
    <col min="8213" max="8213" width="6.42578125" style="2" customWidth="1"/>
    <col min="8214" max="8215" width="8.7109375" style="2" bestFit="1" customWidth="1"/>
    <col min="8216" max="8449" width="9" style="2"/>
    <col min="8450" max="8450" width="1.140625" style="2" customWidth="1"/>
    <col min="8451" max="8451" width="7.5703125" style="2" customWidth="1"/>
    <col min="8452" max="8466" width="7.140625" style="2" customWidth="1"/>
    <col min="8467" max="8468" width="1.42578125" style="2" customWidth="1"/>
    <col min="8469" max="8469" width="6.42578125" style="2" customWidth="1"/>
    <col min="8470" max="8471" width="8.7109375" style="2" bestFit="1" customWidth="1"/>
    <col min="8472" max="8705" width="9" style="2"/>
    <col min="8706" max="8706" width="1.140625" style="2" customWidth="1"/>
    <col min="8707" max="8707" width="7.5703125" style="2" customWidth="1"/>
    <col min="8708" max="8722" width="7.140625" style="2" customWidth="1"/>
    <col min="8723" max="8724" width="1.42578125" style="2" customWidth="1"/>
    <col min="8725" max="8725" width="6.42578125" style="2" customWidth="1"/>
    <col min="8726" max="8727" width="8.7109375" style="2" bestFit="1" customWidth="1"/>
    <col min="8728" max="8961" width="9" style="2"/>
    <col min="8962" max="8962" width="1.140625" style="2" customWidth="1"/>
    <col min="8963" max="8963" width="7.5703125" style="2" customWidth="1"/>
    <col min="8964" max="8978" width="7.140625" style="2" customWidth="1"/>
    <col min="8979" max="8980" width="1.42578125" style="2" customWidth="1"/>
    <col min="8981" max="8981" width="6.42578125" style="2" customWidth="1"/>
    <col min="8982" max="8983" width="8.7109375" style="2" bestFit="1" customWidth="1"/>
    <col min="8984" max="9217" width="9" style="2"/>
    <col min="9218" max="9218" width="1.140625" style="2" customWidth="1"/>
    <col min="9219" max="9219" width="7.5703125" style="2" customWidth="1"/>
    <col min="9220" max="9234" width="7.140625" style="2" customWidth="1"/>
    <col min="9235" max="9236" width="1.42578125" style="2" customWidth="1"/>
    <col min="9237" max="9237" width="6.42578125" style="2" customWidth="1"/>
    <col min="9238" max="9239" width="8.7109375" style="2" bestFit="1" customWidth="1"/>
    <col min="9240" max="9473" width="9" style="2"/>
    <col min="9474" max="9474" width="1.140625" style="2" customWidth="1"/>
    <col min="9475" max="9475" width="7.5703125" style="2" customWidth="1"/>
    <col min="9476" max="9490" width="7.140625" style="2" customWidth="1"/>
    <col min="9491" max="9492" width="1.42578125" style="2" customWidth="1"/>
    <col min="9493" max="9493" width="6.42578125" style="2" customWidth="1"/>
    <col min="9494" max="9495" width="8.7109375" style="2" bestFit="1" customWidth="1"/>
    <col min="9496" max="9729" width="9" style="2"/>
    <col min="9730" max="9730" width="1.140625" style="2" customWidth="1"/>
    <col min="9731" max="9731" width="7.5703125" style="2" customWidth="1"/>
    <col min="9732" max="9746" width="7.140625" style="2" customWidth="1"/>
    <col min="9747" max="9748" width="1.42578125" style="2" customWidth="1"/>
    <col min="9749" max="9749" width="6.42578125" style="2" customWidth="1"/>
    <col min="9750" max="9751" width="8.7109375" style="2" bestFit="1" customWidth="1"/>
    <col min="9752" max="9985" width="9" style="2"/>
    <col min="9986" max="9986" width="1.140625" style="2" customWidth="1"/>
    <col min="9987" max="9987" width="7.5703125" style="2" customWidth="1"/>
    <col min="9988" max="10002" width="7.140625" style="2" customWidth="1"/>
    <col min="10003" max="10004" width="1.42578125" style="2" customWidth="1"/>
    <col min="10005" max="10005" width="6.42578125" style="2" customWidth="1"/>
    <col min="10006" max="10007" width="8.7109375" style="2" bestFit="1" customWidth="1"/>
    <col min="10008" max="10241" width="9" style="2"/>
    <col min="10242" max="10242" width="1.140625" style="2" customWidth="1"/>
    <col min="10243" max="10243" width="7.5703125" style="2" customWidth="1"/>
    <col min="10244" max="10258" width="7.140625" style="2" customWidth="1"/>
    <col min="10259" max="10260" width="1.42578125" style="2" customWidth="1"/>
    <col min="10261" max="10261" width="6.42578125" style="2" customWidth="1"/>
    <col min="10262" max="10263" width="8.7109375" style="2" bestFit="1" customWidth="1"/>
    <col min="10264" max="10497" width="9" style="2"/>
    <col min="10498" max="10498" width="1.140625" style="2" customWidth="1"/>
    <col min="10499" max="10499" width="7.5703125" style="2" customWidth="1"/>
    <col min="10500" max="10514" width="7.140625" style="2" customWidth="1"/>
    <col min="10515" max="10516" width="1.42578125" style="2" customWidth="1"/>
    <col min="10517" max="10517" width="6.42578125" style="2" customWidth="1"/>
    <col min="10518" max="10519" width="8.7109375" style="2" bestFit="1" customWidth="1"/>
    <col min="10520" max="10753" width="9" style="2"/>
    <col min="10754" max="10754" width="1.140625" style="2" customWidth="1"/>
    <col min="10755" max="10755" width="7.5703125" style="2" customWidth="1"/>
    <col min="10756" max="10770" width="7.140625" style="2" customWidth="1"/>
    <col min="10771" max="10772" width="1.42578125" style="2" customWidth="1"/>
    <col min="10773" max="10773" width="6.42578125" style="2" customWidth="1"/>
    <col min="10774" max="10775" width="8.7109375" style="2" bestFit="1" customWidth="1"/>
    <col min="10776" max="11009" width="9" style="2"/>
    <col min="11010" max="11010" width="1.140625" style="2" customWidth="1"/>
    <col min="11011" max="11011" width="7.5703125" style="2" customWidth="1"/>
    <col min="11012" max="11026" width="7.140625" style="2" customWidth="1"/>
    <col min="11027" max="11028" width="1.42578125" style="2" customWidth="1"/>
    <col min="11029" max="11029" width="6.42578125" style="2" customWidth="1"/>
    <col min="11030" max="11031" width="8.7109375" style="2" bestFit="1" customWidth="1"/>
    <col min="11032" max="11265" width="9" style="2"/>
    <col min="11266" max="11266" width="1.140625" style="2" customWidth="1"/>
    <col min="11267" max="11267" width="7.5703125" style="2" customWidth="1"/>
    <col min="11268" max="11282" width="7.140625" style="2" customWidth="1"/>
    <col min="11283" max="11284" width="1.42578125" style="2" customWidth="1"/>
    <col min="11285" max="11285" width="6.42578125" style="2" customWidth="1"/>
    <col min="11286" max="11287" width="8.7109375" style="2" bestFit="1" customWidth="1"/>
    <col min="11288" max="11521" width="9" style="2"/>
    <col min="11522" max="11522" width="1.140625" style="2" customWidth="1"/>
    <col min="11523" max="11523" width="7.5703125" style="2" customWidth="1"/>
    <col min="11524" max="11538" width="7.140625" style="2" customWidth="1"/>
    <col min="11539" max="11540" width="1.42578125" style="2" customWidth="1"/>
    <col min="11541" max="11541" width="6.42578125" style="2" customWidth="1"/>
    <col min="11542" max="11543" width="8.7109375" style="2" bestFit="1" customWidth="1"/>
    <col min="11544" max="11777" width="9" style="2"/>
    <col min="11778" max="11778" width="1.140625" style="2" customWidth="1"/>
    <col min="11779" max="11779" width="7.5703125" style="2" customWidth="1"/>
    <col min="11780" max="11794" width="7.140625" style="2" customWidth="1"/>
    <col min="11795" max="11796" width="1.42578125" style="2" customWidth="1"/>
    <col min="11797" max="11797" width="6.42578125" style="2" customWidth="1"/>
    <col min="11798" max="11799" width="8.7109375" style="2" bestFit="1" customWidth="1"/>
    <col min="11800" max="12033" width="9" style="2"/>
    <col min="12034" max="12034" width="1.140625" style="2" customWidth="1"/>
    <col min="12035" max="12035" width="7.5703125" style="2" customWidth="1"/>
    <col min="12036" max="12050" width="7.140625" style="2" customWidth="1"/>
    <col min="12051" max="12052" width="1.42578125" style="2" customWidth="1"/>
    <col min="12053" max="12053" width="6.42578125" style="2" customWidth="1"/>
    <col min="12054" max="12055" width="8.7109375" style="2" bestFit="1" customWidth="1"/>
    <col min="12056" max="12289" width="9" style="2"/>
    <col min="12290" max="12290" width="1.140625" style="2" customWidth="1"/>
    <col min="12291" max="12291" width="7.5703125" style="2" customWidth="1"/>
    <col min="12292" max="12306" width="7.140625" style="2" customWidth="1"/>
    <col min="12307" max="12308" width="1.42578125" style="2" customWidth="1"/>
    <col min="12309" max="12309" width="6.42578125" style="2" customWidth="1"/>
    <col min="12310" max="12311" width="8.7109375" style="2" bestFit="1" customWidth="1"/>
    <col min="12312" max="12545" width="9" style="2"/>
    <col min="12546" max="12546" width="1.140625" style="2" customWidth="1"/>
    <col min="12547" max="12547" width="7.5703125" style="2" customWidth="1"/>
    <col min="12548" max="12562" width="7.140625" style="2" customWidth="1"/>
    <col min="12563" max="12564" width="1.42578125" style="2" customWidth="1"/>
    <col min="12565" max="12565" width="6.42578125" style="2" customWidth="1"/>
    <col min="12566" max="12567" width="8.7109375" style="2" bestFit="1" customWidth="1"/>
    <col min="12568" max="12801" width="9" style="2"/>
    <col min="12802" max="12802" width="1.140625" style="2" customWidth="1"/>
    <col min="12803" max="12803" width="7.5703125" style="2" customWidth="1"/>
    <col min="12804" max="12818" width="7.140625" style="2" customWidth="1"/>
    <col min="12819" max="12820" width="1.42578125" style="2" customWidth="1"/>
    <col min="12821" max="12821" width="6.42578125" style="2" customWidth="1"/>
    <col min="12822" max="12823" width="8.7109375" style="2" bestFit="1" customWidth="1"/>
    <col min="12824" max="13057" width="9" style="2"/>
    <col min="13058" max="13058" width="1.140625" style="2" customWidth="1"/>
    <col min="13059" max="13059" width="7.5703125" style="2" customWidth="1"/>
    <col min="13060" max="13074" width="7.140625" style="2" customWidth="1"/>
    <col min="13075" max="13076" width="1.42578125" style="2" customWidth="1"/>
    <col min="13077" max="13077" width="6.42578125" style="2" customWidth="1"/>
    <col min="13078" max="13079" width="8.7109375" style="2" bestFit="1" customWidth="1"/>
    <col min="13080" max="13313" width="9" style="2"/>
    <col min="13314" max="13314" width="1.140625" style="2" customWidth="1"/>
    <col min="13315" max="13315" width="7.5703125" style="2" customWidth="1"/>
    <col min="13316" max="13330" width="7.140625" style="2" customWidth="1"/>
    <col min="13331" max="13332" width="1.42578125" style="2" customWidth="1"/>
    <col min="13333" max="13333" width="6.42578125" style="2" customWidth="1"/>
    <col min="13334" max="13335" width="8.7109375" style="2" bestFit="1" customWidth="1"/>
    <col min="13336" max="13569" width="9" style="2"/>
    <col min="13570" max="13570" width="1.140625" style="2" customWidth="1"/>
    <col min="13571" max="13571" width="7.5703125" style="2" customWidth="1"/>
    <col min="13572" max="13586" width="7.140625" style="2" customWidth="1"/>
    <col min="13587" max="13588" width="1.42578125" style="2" customWidth="1"/>
    <col min="13589" max="13589" width="6.42578125" style="2" customWidth="1"/>
    <col min="13590" max="13591" width="8.7109375" style="2" bestFit="1" customWidth="1"/>
    <col min="13592" max="13825" width="9" style="2"/>
    <col min="13826" max="13826" width="1.140625" style="2" customWidth="1"/>
    <col min="13827" max="13827" width="7.5703125" style="2" customWidth="1"/>
    <col min="13828" max="13842" width="7.140625" style="2" customWidth="1"/>
    <col min="13843" max="13844" width="1.42578125" style="2" customWidth="1"/>
    <col min="13845" max="13845" width="6.42578125" style="2" customWidth="1"/>
    <col min="13846" max="13847" width="8.7109375" style="2" bestFit="1" customWidth="1"/>
    <col min="13848" max="14081" width="9" style="2"/>
    <col min="14082" max="14082" width="1.140625" style="2" customWidth="1"/>
    <col min="14083" max="14083" width="7.5703125" style="2" customWidth="1"/>
    <col min="14084" max="14098" width="7.140625" style="2" customWidth="1"/>
    <col min="14099" max="14100" width="1.42578125" style="2" customWidth="1"/>
    <col min="14101" max="14101" width="6.42578125" style="2" customWidth="1"/>
    <col min="14102" max="14103" width="8.7109375" style="2" bestFit="1" customWidth="1"/>
    <col min="14104" max="14337" width="9" style="2"/>
    <col min="14338" max="14338" width="1.140625" style="2" customWidth="1"/>
    <col min="14339" max="14339" width="7.5703125" style="2" customWidth="1"/>
    <col min="14340" max="14354" width="7.140625" style="2" customWidth="1"/>
    <col min="14355" max="14356" width="1.42578125" style="2" customWidth="1"/>
    <col min="14357" max="14357" width="6.42578125" style="2" customWidth="1"/>
    <col min="14358" max="14359" width="8.7109375" style="2" bestFit="1" customWidth="1"/>
    <col min="14360" max="14593" width="9" style="2"/>
    <col min="14594" max="14594" width="1.140625" style="2" customWidth="1"/>
    <col min="14595" max="14595" width="7.5703125" style="2" customWidth="1"/>
    <col min="14596" max="14610" width="7.140625" style="2" customWidth="1"/>
    <col min="14611" max="14612" width="1.42578125" style="2" customWidth="1"/>
    <col min="14613" max="14613" width="6.42578125" style="2" customWidth="1"/>
    <col min="14614" max="14615" width="8.7109375" style="2" bestFit="1" customWidth="1"/>
    <col min="14616" max="14849" width="9" style="2"/>
    <col min="14850" max="14850" width="1.140625" style="2" customWidth="1"/>
    <col min="14851" max="14851" width="7.5703125" style="2" customWidth="1"/>
    <col min="14852" max="14866" width="7.140625" style="2" customWidth="1"/>
    <col min="14867" max="14868" width="1.42578125" style="2" customWidth="1"/>
    <col min="14869" max="14869" width="6.42578125" style="2" customWidth="1"/>
    <col min="14870" max="14871" width="8.7109375" style="2" bestFit="1" customWidth="1"/>
    <col min="14872" max="15105" width="9" style="2"/>
    <col min="15106" max="15106" width="1.140625" style="2" customWidth="1"/>
    <col min="15107" max="15107" width="7.5703125" style="2" customWidth="1"/>
    <col min="15108" max="15122" width="7.140625" style="2" customWidth="1"/>
    <col min="15123" max="15124" width="1.42578125" style="2" customWidth="1"/>
    <col min="15125" max="15125" width="6.42578125" style="2" customWidth="1"/>
    <col min="15126" max="15127" width="8.7109375" style="2" bestFit="1" customWidth="1"/>
    <col min="15128" max="15361" width="9" style="2"/>
    <col min="15362" max="15362" width="1.140625" style="2" customWidth="1"/>
    <col min="15363" max="15363" width="7.5703125" style="2" customWidth="1"/>
    <col min="15364" max="15378" width="7.140625" style="2" customWidth="1"/>
    <col min="15379" max="15380" width="1.42578125" style="2" customWidth="1"/>
    <col min="15381" max="15381" width="6.42578125" style="2" customWidth="1"/>
    <col min="15382" max="15383" width="8.7109375" style="2" bestFit="1" customWidth="1"/>
    <col min="15384" max="15617" width="9" style="2"/>
    <col min="15618" max="15618" width="1.140625" style="2" customWidth="1"/>
    <col min="15619" max="15619" width="7.5703125" style="2" customWidth="1"/>
    <col min="15620" max="15634" width="7.140625" style="2" customWidth="1"/>
    <col min="15635" max="15636" width="1.42578125" style="2" customWidth="1"/>
    <col min="15637" max="15637" width="6.42578125" style="2" customWidth="1"/>
    <col min="15638" max="15639" width="8.7109375" style="2" bestFit="1" customWidth="1"/>
    <col min="15640" max="15873" width="9" style="2"/>
    <col min="15874" max="15874" width="1.140625" style="2" customWidth="1"/>
    <col min="15875" max="15875" width="7.5703125" style="2" customWidth="1"/>
    <col min="15876" max="15890" width="7.140625" style="2" customWidth="1"/>
    <col min="15891" max="15892" width="1.42578125" style="2" customWidth="1"/>
    <col min="15893" max="15893" width="6.42578125" style="2" customWidth="1"/>
    <col min="15894" max="15895" width="8.7109375" style="2" bestFit="1" customWidth="1"/>
    <col min="15896" max="16129" width="9" style="2"/>
    <col min="16130" max="16130" width="1.140625" style="2" customWidth="1"/>
    <col min="16131" max="16131" width="7.5703125" style="2" customWidth="1"/>
    <col min="16132" max="16146" width="7.140625" style="2" customWidth="1"/>
    <col min="16147" max="16148" width="1.42578125" style="2" customWidth="1"/>
    <col min="16149" max="16149" width="6.42578125" style="2" customWidth="1"/>
    <col min="16150" max="16151" width="8.7109375" style="2" bestFit="1" customWidth="1"/>
    <col min="16152" max="16384" width="9" style="2"/>
  </cols>
  <sheetData>
    <row r="1" spans="1:44" ht="18" customHeight="1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44" ht="33" customHeight="1">
      <c r="A2" s="449" t="s">
        <v>24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62"/>
      <c r="U2" s="62"/>
    </row>
    <row r="3" spans="1:44" ht="18" customHeight="1">
      <c r="B3" s="69"/>
      <c r="C3" s="69"/>
      <c r="D3" s="69"/>
      <c r="E3" s="69"/>
      <c r="F3" s="69"/>
      <c r="G3" s="69"/>
      <c r="H3" s="69"/>
      <c r="I3" s="69"/>
      <c r="J3" s="69"/>
      <c r="K3" s="93"/>
      <c r="L3" s="93"/>
      <c r="M3" s="69"/>
      <c r="N3" s="69"/>
      <c r="O3" s="8"/>
      <c r="P3" s="8"/>
      <c r="Q3" s="13"/>
      <c r="R3" s="13"/>
      <c r="V3" s="7"/>
    </row>
    <row r="4" spans="1:44" ht="18" customHeight="1">
      <c r="B4" s="85" t="s">
        <v>14</v>
      </c>
      <c r="C4" s="86" t="s">
        <v>84</v>
      </c>
      <c r="D4" s="115">
        <f>'Data Record'!H18</f>
        <v>1000</v>
      </c>
      <c r="E4" s="86" t="s">
        <v>85</v>
      </c>
      <c r="F4" s="87">
        <f>'Data Record'!N18</f>
        <v>2000</v>
      </c>
      <c r="G4" s="86" t="s">
        <v>86</v>
      </c>
      <c r="H4" s="87">
        <f>'Data Record'!T18</f>
        <v>100</v>
      </c>
      <c r="I4" s="2" t="s">
        <v>87</v>
      </c>
      <c r="J4" s="89">
        <f>F4/D4</f>
        <v>2</v>
      </c>
      <c r="N4" s="47"/>
      <c r="O4" s="8"/>
      <c r="P4" s="8"/>
      <c r="Q4" s="13"/>
      <c r="R4" s="13"/>
      <c r="V4" s="7"/>
    </row>
    <row r="5" spans="1:44" ht="18" customHeight="1">
      <c r="B5" s="90" t="s">
        <v>75</v>
      </c>
      <c r="C5" s="99">
        <f>5.2*10^-6</f>
        <v>5.2000000000000002E-6</v>
      </c>
      <c r="D5" s="100" t="s">
        <v>92</v>
      </c>
      <c r="E5" s="91" t="s">
        <v>43</v>
      </c>
      <c r="F5" s="99">
        <f>77*10^9</f>
        <v>77000000000</v>
      </c>
      <c r="G5" s="100" t="s">
        <v>81</v>
      </c>
      <c r="H5" s="84" t="s">
        <v>89</v>
      </c>
      <c r="I5" s="98">
        <f>ABS('Data Record'!Y16-'Data Record'!Y17)</f>
        <v>0.39999999999999858</v>
      </c>
      <c r="J5" s="69"/>
      <c r="M5" s="69"/>
      <c r="N5" s="69"/>
      <c r="O5" s="8"/>
      <c r="P5" s="8"/>
      <c r="Q5" s="13"/>
      <c r="R5" s="13"/>
      <c r="V5" s="7"/>
    </row>
    <row r="6" spans="1:44" ht="18" customHeight="1">
      <c r="B6" s="91" t="s">
        <v>76</v>
      </c>
      <c r="C6" s="88">
        <v>9.8000000000000007</v>
      </c>
      <c r="D6" s="100" t="s">
        <v>82</v>
      </c>
      <c r="E6" s="90" t="s">
        <v>77</v>
      </c>
      <c r="F6" s="99">
        <v>0.26</v>
      </c>
      <c r="G6" s="101"/>
      <c r="H6" s="92" t="s">
        <v>90</v>
      </c>
      <c r="I6" s="106">
        <f>(1*10^-6)/SQRT(3)</f>
        <v>5.7735026918962578E-7</v>
      </c>
      <c r="J6" s="105"/>
      <c r="M6" s="69"/>
      <c r="N6" s="69"/>
      <c r="O6" s="8"/>
      <c r="P6" s="8"/>
      <c r="Q6" s="13"/>
      <c r="R6" s="13"/>
      <c r="V6" s="7"/>
    </row>
    <row r="7" spans="1:44" ht="18" customHeight="1">
      <c r="B7" s="91" t="s">
        <v>78</v>
      </c>
      <c r="C7" s="107">
        <f>IF(J4&lt;=1,0.044,IF(J4&lt;=1.5,0.07,IF(J4&gt;1.5,0.103)))</f>
        <v>0.10299999999999999</v>
      </c>
      <c r="D7" s="100"/>
      <c r="E7" s="90" t="s">
        <v>88</v>
      </c>
      <c r="F7" s="99">
        <f>6.37*10^6</f>
        <v>6370000</v>
      </c>
      <c r="G7" s="102" t="s">
        <v>79</v>
      </c>
      <c r="H7" s="84" t="s">
        <v>91</v>
      </c>
      <c r="I7" s="97">
        <f>I5/2</f>
        <v>0.19999999999999929</v>
      </c>
      <c r="J7" s="69"/>
      <c r="M7" s="69"/>
      <c r="N7" s="69"/>
      <c r="O7" s="8"/>
      <c r="P7" s="8"/>
      <c r="Q7" s="13"/>
      <c r="R7" s="13"/>
      <c r="V7" s="7"/>
    </row>
    <row r="8" spans="1:44" ht="18" customHeight="1">
      <c r="B8" s="92" t="s">
        <v>80</v>
      </c>
      <c r="C8" s="103">
        <v>2750</v>
      </c>
      <c r="D8" s="100" t="s">
        <v>83</v>
      </c>
      <c r="E8" s="109" t="s">
        <v>95</v>
      </c>
      <c r="F8" s="112" t="s">
        <v>96</v>
      </c>
      <c r="G8" s="112"/>
      <c r="H8" s="110"/>
      <c r="I8" s="110"/>
      <c r="J8" s="110"/>
      <c r="M8" s="69"/>
      <c r="N8" s="69"/>
      <c r="O8" s="8"/>
      <c r="P8" s="8"/>
      <c r="Q8" s="13"/>
      <c r="R8" s="13"/>
      <c r="V8" s="7"/>
    </row>
    <row r="9" spans="1:44" ht="18" customHeight="1">
      <c r="B9" s="450"/>
      <c r="C9" s="450"/>
      <c r="D9" s="450"/>
      <c r="E9" s="450"/>
      <c r="F9" s="450"/>
      <c r="G9" s="450"/>
      <c r="H9" s="450"/>
      <c r="I9" s="56"/>
      <c r="J9" s="56"/>
      <c r="K9" s="93"/>
      <c r="L9" s="93"/>
      <c r="M9" s="50"/>
      <c r="N9" s="50"/>
    </row>
    <row r="10" spans="1:44" ht="18" customHeight="1">
      <c r="A10" s="3"/>
      <c r="B10" s="255"/>
      <c r="L10" s="1" t="s">
        <v>17</v>
      </c>
      <c r="P10" s="256"/>
      <c r="V10" s="4"/>
      <c r="AC10" s="3"/>
      <c r="AD10" s="3"/>
      <c r="AE10" s="3"/>
    </row>
    <row r="11" spans="1:44" ht="23.1" customHeight="1">
      <c r="A11" s="3"/>
      <c r="B11" s="230" t="s">
        <v>143</v>
      </c>
      <c r="C11" s="451" t="s">
        <v>144</v>
      </c>
      <c r="D11" s="451"/>
      <c r="E11" s="451"/>
      <c r="F11" s="230" t="s">
        <v>3</v>
      </c>
      <c r="G11" s="442" t="s">
        <v>145</v>
      </c>
      <c r="H11" s="443"/>
      <c r="I11" s="242" t="s">
        <v>146</v>
      </c>
      <c r="J11" s="242" t="s">
        <v>147</v>
      </c>
      <c r="K11" s="230" t="s">
        <v>2</v>
      </c>
      <c r="L11" s="242" t="s">
        <v>148</v>
      </c>
      <c r="V11" s="4"/>
      <c r="AA11" s="49" t="s">
        <v>36</v>
      </c>
      <c r="AB11" s="58">
        <f>F12</f>
        <v>6.77348280713196E-2</v>
      </c>
      <c r="AC11" s="37">
        <f t="shared" ref="AC11:AC29" si="0">AB11/1</f>
        <v>6.77348280713196E-2</v>
      </c>
      <c r="AD11" s="35">
        <f>'Cert of STD'!C9</f>
        <v>1</v>
      </c>
      <c r="AE11" s="36">
        <f t="shared" ref="AE11:AE29" si="1">AD11/2</f>
        <v>0.5</v>
      </c>
      <c r="AF11" s="63">
        <f t="shared" ref="AF11:AF29" si="2">0.5/5</f>
        <v>0.1</v>
      </c>
      <c r="AG11" s="36">
        <f t="shared" ref="AG11:AG29" si="3">AF11/SQRT(3)</f>
        <v>5.7735026918962581E-2</v>
      </c>
      <c r="AH11" s="57">
        <f>((5.2*10^-6*(F4/1000)^2*(ABS(AVERAGE('Data Record'!K16,'Data Record'!Y16)-(AVERAGE('Data Record'!K17,'Data Record'!Y17)))/8*(H4/1000)))*1000000)</f>
        <v>0.10399999999999965</v>
      </c>
      <c r="AI11" s="38">
        <f t="shared" ref="AI11:AI29" si="4">AH11/SQRT(3)</f>
        <v>6.0044427995720878E-2</v>
      </c>
      <c r="AJ11" s="38">
        <f>(SQRT(300^2+300^2))^2/(8*F7)</f>
        <v>3.5321821036106752E-3</v>
      </c>
      <c r="AK11" s="37">
        <f t="shared" ref="AK11:AK16" si="5">(AJ11/SQRT(3))</f>
        <v>2.0393062883464022E-3</v>
      </c>
      <c r="AL11" s="104">
        <f>9.8*0.044*(2750*0.3^4)/((77*10^9)*0.1^2)*(1-0.26^2)</f>
        <v>1.1630757599999999E-8</v>
      </c>
      <c r="AM11" s="37">
        <f t="shared" ref="AM11:AM16" si="6">(AL11/SQRT(3))</f>
        <v>6.7150210312392858E-9</v>
      </c>
      <c r="AN11" s="37">
        <f t="shared" ref="AN11:AN29" si="7">SQRT(AC11^2+AE11^2+AG11^2+AI11^2+AK11^2+AM11^2)</f>
        <v>0.51140085292327742</v>
      </c>
      <c r="AO11" s="39">
        <f t="shared" ref="AO11:AO29" si="8">AC11/1</f>
        <v>6.77348280713196E-2</v>
      </c>
      <c r="AP11" s="40">
        <f t="shared" ref="AP11:AP29" si="9">(AN11^4)/(((IF(AO11&lt;=0,0.001,AO11)^4)/9))</f>
        <v>29244.228616670527</v>
      </c>
      <c r="AQ11" s="34" t="str">
        <f t="shared" ref="AQ11:AQ29" si="10">IF(AP11&gt;0,"2.00",TINV(0.0455,AP11))</f>
        <v>2.00</v>
      </c>
      <c r="AR11" s="68">
        <f t="shared" ref="AR11:AR29" si="11">AN11*AQ11</f>
        <v>1.0228017058465548</v>
      </c>
    </row>
    <row r="12" spans="1:44" s="3" customFormat="1" ht="23.1" customHeight="1">
      <c r="B12" s="231" t="s">
        <v>153</v>
      </c>
      <c r="C12" s="446" t="s">
        <v>0</v>
      </c>
      <c r="D12" s="447"/>
      <c r="E12" s="448"/>
      <c r="F12" s="236">
        <f>'Data Record'!AA26</f>
        <v>6.77348280713196E-2</v>
      </c>
      <c r="G12" s="444" t="s">
        <v>159</v>
      </c>
      <c r="H12" s="445"/>
      <c r="I12" s="232">
        <v>1</v>
      </c>
      <c r="J12" s="232">
        <v>1</v>
      </c>
      <c r="K12" s="237">
        <f>F12/1</f>
        <v>6.77348280713196E-2</v>
      </c>
      <c r="L12" s="232">
        <v>2</v>
      </c>
      <c r="V12" s="5"/>
      <c r="AA12" s="49" t="s">
        <v>57</v>
      </c>
      <c r="AB12" s="58">
        <f t="shared" ref="AB12:AB29" si="12">AB11</f>
        <v>6.77348280713196E-2</v>
      </c>
      <c r="AC12" s="37">
        <f t="shared" si="0"/>
        <v>6.77348280713196E-2</v>
      </c>
      <c r="AD12" s="35">
        <f>'Cert of STD'!C9</f>
        <v>1</v>
      </c>
      <c r="AE12" s="36">
        <f t="shared" si="1"/>
        <v>0.5</v>
      </c>
      <c r="AF12" s="63">
        <f t="shared" si="2"/>
        <v>0.1</v>
      </c>
      <c r="AG12" s="36">
        <f t="shared" si="3"/>
        <v>5.7735026918962581E-2</v>
      </c>
      <c r="AH12" s="57">
        <f>((5.2*10^-6*(F4/1000)^2*(ABS(AVERAGE('Data Record'!K16,'Data Record'!Y16)-(AVERAGE('Data Record'!K17,'Data Record'!Y17)))/8*(H4/1000)))*1000000)</f>
        <v>0.10399999999999965</v>
      </c>
      <c r="AI12" s="38">
        <f t="shared" si="4"/>
        <v>6.0044427995720878E-2</v>
      </c>
      <c r="AJ12" s="38">
        <f>(SQRT(400^2+400^2))^2/(8*F7)</f>
        <v>6.2794348508634227E-3</v>
      </c>
      <c r="AK12" s="37">
        <f t="shared" si="5"/>
        <v>3.6254334015047148E-3</v>
      </c>
      <c r="AL12" s="104">
        <f>9.8*0.044*(2750*0.4^4)/((77*10^9)*10^2)*(1-0.26^2)</f>
        <v>3.6758937600000023E-12</v>
      </c>
      <c r="AM12" s="37">
        <f t="shared" si="6"/>
        <v>2.1222782518484671E-12</v>
      </c>
      <c r="AN12" s="37">
        <f t="shared" si="7"/>
        <v>0.51140963753909319</v>
      </c>
      <c r="AO12" s="39">
        <f t="shared" si="8"/>
        <v>6.77348280713196E-2</v>
      </c>
      <c r="AP12" s="40">
        <f t="shared" si="9"/>
        <v>29246.238045721624</v>
      </c>
      <c r="AQ12" s="34" t="str">
        <f t="shared" si="10"/>
        <v>2.00</v>
      </c>
      <c r="AR12" s="68">
        <f t="shared" si="11"/>
        <v>1.0228192750781864</v>
      </c>
    </row>
    <row r="13" spans="1:44" s="3" customFormat="1" ht="23.1" customHeight="1">
      <c r="B13" s="235" t="s">
        <v>154</v>
      </c>
      <c r="C13" s="446" t="s">
        <v>31</v>
      </c>
      <c r="D13" s="447"/>
      <c r="E13" s="448"/>
      <c r="F13" s="35">
        <f>'Cert of STD'!C9</f>
        <v>1</v>
      </c>
      <c r="G13" s="444" t="s">
        <v>159</v>
      </c>
      <c r="H13" s="445"/>
      <c r="I13" s="232">
        <v>2</v>
      </c>
      <c r="J13" s="232">
        <v>1</v>
      </c>
      <c r="K13" s="36">
        <f>F13/2</f>
        <v>0.5</v>
      </c>
      <c r="L13" s="251" t="s">
        <v>164</v>
      </c>
      <c r="V13" s="5"/>
      <c r="AA13" s="49" t="s">
        <v>58</v>
      </c>
      <c r="AB13" s="58">
        <f t="shared" si="12"/>
        <v>6.77348280713196E-2</v>
      </c>
      <c r="AC13" s="37">
        <f t="shared" si="0"/>
        <v>6.77348280713196E-2</v>
      </c>
      <c r="AD13" s="35">
        <f>'Cert of STD'!C9</f>
        <v>1</v>
      </c>
      <c r="AE13" s="36">
        <f t="shared" si="1"/>
        <v>0.5</v>
      </c>
      <c r="AF13" s="63">
        <f t="shared" si="2"/>
        <v>0.1</v>
      </c>
      <c r="AG13" s="36">
        <f t="shared" si="3"/>
        <v>5.7735026918962581E-2</v>
      </c>
      <c r="AH13" s="57">
        <f>((5.2*10^-6*(F4/1000)^2*(ABS(AVERAGE('Data Record'!K16,'Data Record'!Y16)-(AVERAGE('Data Record'!K17,'Data Record'!Y17)))/8*(H4/1000)))*1000000)</f>
        <v>0.10399999999999965</v>
      </c>
      <c r="AI13" s="38">
        <f t="shared" si="4"/>
        <v>6.0044427995720878E-2</v>
      </c>
      <c r="AJ13" s="38">
        <f>(SQRT(500^2+500^2))^2/(8*F7)</f>
        <v>9.8116169544740992E-3</v>
      </c>
      <c r="AK13" s="37">
        <f t="shared" si="5"/>
        <v>5.6647396898511174E-3</v>
      </c>
      <c r="AL13" s="104">
        <f>9.8*0.07*((2750*0.5^4)/((77*10^9)*0.1^2))*(1-0.26^2)</f>
        <v>1.4277375000000002E-7</v>
      </c>
      <c r="AM13" s="37">
        <f t="shared" si="6"/>
        <v>8.2430462995712349E-8</v>
      </c>
      <c r="AN13" s="37">
        <f t="shared" si="7"/>
        <v>0.5114281600345042</v>
      </c>
      <c r="AO13" s="39">
        <f t="shared" si="8"/>
        <v>6.77348280713196E-2</v>
      </c>
      <c r="AP13" s="40">
        <f t="shared" si="9"/>
        <v>29250.475296653243</v>
      </c>
      <c r="AQ13" s="34" t="str">
        <f t="shared" si="10"/>
        <v>2.00</v>
      </c>
      <c r="AR13" s="68">
        <f t="shared" si="11"/>
        <v>1.0228563200690084</v>
      </c>
    </row>
    <row r="14" spans="1:44" s="3" customFormat="1" ht="23.1" customHeight="1">
      <c r="B14" s="235" t="s">
        <v>155</v>
      </c>
      <c r="C14" s="446" t="s">
        <v>32</v>
      </c>
      <c r="D14" s="447"/>
      <c r="E14" s="448"/>
      <c r="F14" s="63">
        <f>0.5/5</f>
        <v>0.1</v>
      </c>
      <c r="G14" s="444" t="s">
        <v>162</v>
      </c>
      <c r="H14" s="445"/>
      <c r="I14" s="232" t="s">
        <v>149</v>
      </c>
      <c r="J14" s="232">
        <v>1</v>
      </c>
      <c r="K14" s="36">
        <f>F14/SQRT(3)</f>
        <v>5.7735026918962581E-2</v>
      </c>
      <c r="L14" s="251" t="s">
        <v>164</v>
      </c>
      <c r="V14" s="5"/>
      <c r="AA14" s="49" t="s">
        <v>59</v>
      </c>
      <c r="AB14" s="58">
        <f t="shared" si="12"/>
        <v>6.77348280713196E-2</v>
      </c>
      <c r="AC14" s="37">
        <f t="shared" si="0"/>
        <v>6.77348280713196E-2</v>
      </c>
      <c r="AD14" s="35">
        <f>'Cert of STD'!C9</f>
        <v>1</v>
      </c>
      <c r="AE14" s="36">
        <f t="shared" si="1"/>
        <v>0.5</v>
      </c>
      <c r="AF14" s="63">
        <f t="shared" si="2"/>
        <v>0.1</v>
      </c>
      <c r="AG14" s="36">
        <f t="shared" si="3"/>
        <v>5.7735026918962581E-2</v>
      </c>
      <c r="AH14" s="57">
        <f>((5.2*10^-6*(F4/1000)^2*(ABS(AVERAGE('Data Record'!K16,'Data Record'!Y16)-(AVERAGE('Data Record'!K17,'Data Record'!Y17)))/8*(H4/1000)))*1000000)</f>
        <v>0.10399999999999965</v>
      </c>
      <c r="AI14" s="38">
        <f t="shared" si="4"/>
        <v>6.0044427995720878E-2</v>
      </c>
      <c r="AJ14" s="38">
        <f>(SQRT(600^2+600^2))^2/(8*F7)</f>
        <v>1.4128728414442701E-2</v>
      </c>
      <c r="AK14" s="37">
        <f t="shared" si="5"/>
        <v>8.1572251533856086E-3</v>
      </c>
      <c r="AL14" s="104">
        <f>9.8*0.044*(2750*0.6^4)/((77*10^9)*0.1^2)*(1-0.26^2)</f>
        <v>1.8609212159999998E-7</v>
      </c>
      <c r="AM14" s="37">
        <f t="shared" si="6"/>
        <v>1.0744033649982857E-7</v>
      </c>
      <c r="AN14" s="37">
        <f t="shared" si="7"/>
        <v>0.51146184014326279</v>
      </c>
      <c r="AO14" s="39">
        <f t="shared" si="8"/>
        <v>6.77348280713196E-2</v>
      </c>
      <c r="AP14" s="40">
        <f t="shared" si="9"/>
        <v>29258.181219689995</v>
      </c>
      <c r="AQ14" s="34" t="str">
        <f t="shared" si="10"/>
        <v>2.00</v>
      </c>
      <c r="AR14" s="68">
        <f t="shared" si="11"/>
        <v>1.0229236802865256</v>
      </c>
    </row>
    <row r="15" spans="1:44" s="3" customFormat="1" ht="23.1" customHeight="1">
      <c r="B15" s="235" t="s">
        <v>156</v>
      </c>
      <c r="C15" s="446" t="s">
        <v>102</v>
      </c>
      <c r="D15" s="447"/>
      <c r="E15" s="448"/>
      <c r="F15" s="57">
        <f>((5.2*10^-6*(F4/1000)^2*(ABS(AVERAGE('Data Record'!K16,'Data Record'!Y16)-(AVERAGE('Data Record'!K17,'Data Record'!Y17)))/8*(H4/1000)))*1000000)</f>
        <v>0.10399999999999965</v>
      </c>
      <c r="G15" s="444" t="s">
        <v>162</v>
      </c>
      <c r="H15" s="445"/>
      <c r="I15" s="243" t="s">
        <v>150</v>
      </c>
      <c r="J15" s="232">
        <v>1</v>
      </c>
      <c r="K15" s="38">
        <f>F15/SQRT(3)</f>
        <v>6.0044427995720878E-2</v>
      </c>
      <c r="L15" s="251" t="s">
        <v>164</v>
      </c>
      <c r="V15" s="5"/>
      <c r="AA15" s="49" t="s">
        <v>60</v>
      </c>
      <c r="AB15" s="58">
        <f t="shared" si="12"/>
        <v>6.77348280713196E-2</v>
      </c>
      <c r="AC15" s="37">
        <f t="shared" si="0"/>
        <v>6.77348280713196E-2</v>
      </c>
      <c r="AD15" s="35">
        <f>'Cert of STD'!C9</f>
        <v>1</v>
      </c>
      <c r="AE15" s="36">
        <f t="shared" si="1"/>
        <v>0.5</v>
      </c>
      <c r="AF15" s="63">
        <f t="shared" si="2"/>
        <v>0.1</v>
      </c>
      <c r="AG15" s="36">
        <f t="shared" si="3"/>
        <v>5.7735026918962581E-2</v>
      </c>
      <c r="AH15" s="57">
        <f>((5.2*10^-6*(F4/1000)^2*(ABS(AVERAGE('Data Record'!K17,'Data Record'!Y17)-(AVERAGE('Data Record'!K16,'Data Record'!Y16)))/8*(H4/1000)))*1000000)</f>
        <v>0.10399999999999965</v>
      </c>
      <c r="AI15" s="38">
        <f t="shared" si="4"/>
        <v>6.0044427995720878E-2</v>
      </c>
      <c r="AJ15" s="38">
        <f>(SQRT(750^2+750^2))^2/(8*F7)</f>
        <v>2.2076138147566714E-2</v>
      </c>
      <c r="AK15" s="37">
        <f t="shared" si="5"/>
        <v>1.274566430216501E-2</v>
      </c>
      <c r="AL15" s="104">
        <f>9.8*0.044*(2750*0.75^4)/((77*10^9)*0.1^2)*(1-0.26^2)</f>
        <v>4.5432646874999989E-7</v>
      </c>
      <c r="AM15" s="37">
        <f t="shared" si="6"/>
        <v>2.6230550903278455E-7</v>
      </c>
      <c r="AN15" s="37">
        <f t="shared" si="7"/>
        <v>0.51155559381077065</v>
      </c>
      <c r="AO15" s="39">
        <f t="shared" si="8"/>
        <v>6.77348280713196E-2</v>
      </c>
      <c r="AP15" s="40">
        <f t="shared" si="9"/>
        <v>29279.63983808483</v>
      </c>
      <c r="AQ15" s="34" t="str">
        <f t="shared" si="10"/>
        <v>2.00</v>
      </c>
      <c r="AR15" s="68">
        <f t="shared" si="11"/>
        <v>1.0231111876215413</v>
      </c>
    </row>
    <row r="16" spans="1:44" s="3" customFormat="1" ht="23.1" customHeight="1">
      <c r="B16" s="235" t="s">
        <v>157</v>
      </c>
      <c r="C16" s="446" t="s">
        <v>103</v>
      </c>
      <c r="D16" s="447"/>
      <c r="E16" s="448"/>
      <c r="F16" s="38">
        <f>(SQRT(150^2+150^2))^2/(8*F7)</f>
        <v>8.830455259026688E-4</v>
      </c>
      <c r="G16" s="444" t="s">
        <v>162</v>
      </c>
      <c r="H16" s="445"/>
      <c r="I16" s="232" t="s">
        <v>151</v>
      </c>
      <c r="J16" s="232">
        <v>1</v>
      </c>
      <c r="K16" s="37">
        <f>(F16/SQRT(3))</f>
        <v>5.0982657208660054E-4</v>
      </c>
      <c r="L16" s="251" t="s">
        <v>164</v>
      </c>
      <c r="V16" s="5"/>
      <c r="AA16" s="49" t="s">
        <v>61</v>
      </c>
      <c r="AB16" s="58">
        <f t="shared" si="12"/>
        <v>6.77348280713196E-2</v>
      </c>
      <c r="AC16" s="37">
        <f t="shared" si="0"/>
        <v>6.77348280713196E-2</v>
      </c>
      <c r="AD16" s="35">
        <f>'Cert of STD'!C9</f>
        <v>1</v>
      </c>
      <c r="AE16" s="36">
        <f t="shared" si="1"/>
        <v>0.5</v>
      </c>
      <c r="AF16" s="63">
        <f t="shared" si="2"/>
        <v>0.1</v>
      </c>
      <c r="AG16" s="36">
        <f t="shared" si="3"/>
        <v>5.7735026918962581E-2</v>
      </c>
      <c r="AH16" s="57">
        <f>((5.2*10^-6*(F4/1000)^2*(ABS(AVERAGE('Data Record'!K16,'Data Record'!Y16)-(AVERAGE('Data Record'!K17,'Data Record'!Y17)))/8*(H4/1000)))*1000000)</f>
        <v>0.10399999999999965</v>
      </c>
      <c r="AI16" s="38">
        <f t="shared" si="4"/>
        <v>6.0044427995720878E-2</v>
      </c>
      <c r="AJ16" s="38">
        <f>(SQRT(900^2+900^2))^2/(8*F7)</f>
        <v>3.1789638932496082E-2</v>
      </c>
      <c r="AK16" s="37">
        <f t="shared" si="5"/>
        <v>1.8353756595117621E-2</v>
      </c>
      <c r="AL16" s="104">
        <f>9.8*0.044*(2750*0.9^4)/((77*10^9)*0.1^2)*(1-0.26^2)</f>
        <v>9.4209136560000009E-7</v>
      </c>
      <c r="AM16" s="37">
        <f t="shared" si="6"/>
        <v>5.4391670353038219E-7</v>
      </c>
      <c r="AN16" s="37">
        <f t="shared" si="7"/>
        <v>0.51172603410610895</v>
      </c>
      <c r="AO16" s="39">
        <f t="shared" si="8"/>
        <v>6.77348280713196E-2</v>
      </c>
      <c r="AP16" s="40">
        <f t="shared" si="9"/>
        <v>29318.680952256873</v>
      </c>
      <c r="AQ16" s="34" t="str">
        <f t="shared" si="10"/>
        <v>2.00</v>
      </c>
      <c r="AR16" s="68">
        <f t="shared" si="11"/>
        <v>1.0234520682122179</v>
      </c>
    </row>
    <row r="17" spans="2:44" s="9" customFormat="1" ht="23.1" customHeight="1">
      <c r="B17" s="235" t="s">
        <v>158</v>
      </c>
      <c r="C17" s="446" t="s">
        <v>93</v>
      </c>
      <c r="D17" s="447"/>
      <c r="E17" s="448"/>
      <c r="F17" s="104">
        <f>9.8*0.044*(2750*0.15^4)/((77*10^9)*0.1^2)*(1-0.26^2)</f>
        <v>7.2692234999999993E-10</v>
      </c>
      <c r="G17" s="444" t="s">
        <v>162</v>
      </c>
      <c r="H17" s="445"/>
      <c r="I17" s="243" t="s">
        <v>150</v>
      </c>
      <c r="J17" s="234">
        <v>1</v>
      </c>
      <c r="K17" s="37">
        <f>(F17/SQRT(3))</f>
        <v>4.1968881445245536E-10</v>
      </c>
      <c r="L17" s="251" t="s">
        <v>164</v>
      </c>
      <c r="T17" s="29"/>
      <c r="U17" s="29"/>
      <c r="AA17" s="49" t="s">
        <v>62</v>
      </c>
      <c r="AB17" s="58">
        <f t="shared" si="12"/>
        <v>6.77348280713196E-2</v>
      </c>
      <c r="AC17" s="37">
        <f t="shared" si="0"/>
        <v>6.77348280713196E-2</v>
      </c>
      <c r="AD17" s="35">
        <f>'Cert of STD'!C9</f>
        <v>1</v>
      </c>
      <c r="AE17" s="36">
        <f t="shared" si="1"/>
        <v>0.5</v>
      </c>
      <c r="AF17" s="63">
        <f t="shared" si="2"/>
        <v>0.1</v>
      </c>
      <c r="AG17" s="36">
        <f t="shared" si="3"/>
        <v>5.7735026918962581E-2</v>
      </c>
      <c r="AH17" s="57">
        <f>((5.2*10^-6*(F4/1000)^2*(ABS(AVERAGE('Data Record'!K16,'Data Record'!Y16)-(AVERAGE('Data Record'!K17,'Data Record'!Y17)))/8*(H4/1000)))*1000000)</f>
        <v>0.10399999999999965</v>
      </c>
      <c r="AI17" s="38">
        <f t="shared" si="4"/>
        <v>6.0044427995720878E-2</v>
      </c>
      <c r="AJ17" s="38">
        <f>(SQRT(1000^2+1000^2))^2/(8*F7)</f>
        <v>3.9246467817896397E-2</v>
      </c>
      <c r="AK17" s="37">
        <f t="shared" ref="AK17:AK29" si="13">(AJ17/SQRT(3))</f>
        <v>2.265895875940447E-2</v>
      </c>
      <c r="AL17" s="104">
        <f>9.8*0.044*(2.75*1^4)/((77*10^9)*0.1^2)*(1-0.26^2)</f>
        <v>1.4358959999999997E-9</v>
      </c>
      <c r="AM17" s="37">
        <f t="shared" ref="AM17:AM28" si="14">(AL17/SQRT(3))</f>
        <v>8.2901494212830676E-10</v>
      </c>
      <c r="AN17" s="37">
        <f t="shared" si="7"/>
        <v>0.5118985270662324</v>
      </c>
      <c r="AO17" s="39">
        <f t="shared" si="8"/>
        <v>6.77348280713196E-2</v>
      </c>
      <c r="AP17" s="40">
        <f t="shared" si="9"/>
        <v>29358.231988255382</v>
      </c>
      <c r="AQ17" s="34" t="str">
        <f t="shared" si="10"/>
        <v>2.00</v>
      </c>
      <c r="AR17" s="68">
        <f t="shared" si="11"/>
        <v>1.0237970541324648</v>
      </c>
    </row>
    <row r="18" spans="2:44" s="9" customFormat="1" ht="23.1" customHeight="1">
      <c r="B18" s="233" t="s">
        <v>1</v>
      </c>
      <c r="C18" s="446" t="s">
        <v>152</v>
      </c>
      <c r="D18" s="447"/>
      <c r="E18" s="448"/>
      <c r="F18" s="244"/>
      <c r="G18" s="442" t="s">
        <v>159</v>
      </c>
      <c r="H18" s="443"/>
      <c r="I18" s="246"/>
      <c r="J18" s="247"/>
      <c r="K18" s="37">
        <f>SQRT(K12^2+K13^2+K14^2+K15^2+K16^2+K17^2)</f>
        <v>0.5113970409805394</v>
      </c>
      <c r="L18" s="40">
        <f>(K18^4)/(((IF(K12&lt;=0,0.001,K12)^4)/9))</f>
        <v>29243.356689470103</v>
      </c>
      <c r="T18" s="29"/>
      <c r="U18" s="29"/>
      <c r="AA18" s="49" t="s">
        <v>63</v>
      </c>
      <c r="AB18" s="58">
        <f t="shared" si="12"/>
        <v>6.77348280713196E-2</v>
      </c>
      <c r="AC18" s="37">
        <f t="shared" si="0"/>
        <v>6.77348280713196E-2</v>
      </c>
      <c r="AD18" s="35">
        <f>'Cert of STD'!C9</f>
        <v>1</v>
      </c>
      <c r="AE18" s="36">
        <f t="shared" si="1"/>
        <v>0.5</v>
      </c>
      <c r="AF18" s="63">
        <f t="shared" si="2"/>
        <v>0.1</v>
      </c>
      <c r="AG18" s="36">
        <f t="shared" si="3"/>
        <v>5.7735026918962581E-2</v>
      </c>
      <c r="AH18" s="57">
        <f>((5.2*10^-6*(F4/1000)^2*(ABS(AVERAGE('Data Record'!K16,'Data Record'!Y16)-(AVERAGE('Data Record'!K17,'Data Record'!Y17)))/8*(H4/1000)))*1000000)</f>
        <v>0.10399999999999965</v>
      </c>
      <c r="AI18" s="38">
        <f t="shared" si="4"/>
        <v>6.0044427995720878E-2</v>
      </c>
      <c r="AJ18" s="38">
        <f>(SQRT(1100^2+1100^2))^2/(8*F7)</f>
        <v>4.748822605965463E-2</v>
      </c>
      <c r="AK18" s="37">
        <f t="shared" si="13"/>
        <v>2.7417340098879403E-2</v>
      </c>
      <c r="AL18" s="104">
        <f>9.8*0.044*(2750*1.1^4)/((77*10^9)*0.1^2)*(1-0.26^2)</f>
        <v>2.1022953336000001E-6</v>
      </c>
      <c r="AM18" s="37">
        <f t="shared" si="14"/>
        <v>1.2137607767700543E-6</v>
      </c>
      <c r="AN18" s="37">
        <f t="shared" si="7"/>
        <v>0.51213121769727021</v>
      </c>
      <c r="AO18" s="39">
        <f t="shared" si="8"/>
        <v>6.77348280713196E-2</v>
      </c>
      <c r="AP18" s="40">
        <f t="shared" si="9"/>
        <v>29411.649175689567</v>
      </c>
      <c r="AQ18" s="34" t="str">
        <f t="shared" si="10"/>
        <v>2.00</v>
      </c>
      <c r="AR18" s="68">
        <f t="shared" si="11"/>
        <v>1.0242624353945404</v>
      </c>
    </row>
    <row r="19" spans="2:44" s="9" customFormat="1" ht="23.1" customHeight="1">
      <c r="B19" s="250" t="s">
        <v>163</v>
      </c>
      <c r="C19" s="239" t="s">
        <v>160</v>
      </c>
      <c r="D19" s="240"/>
      <c r="E19" s="241"/>
      <c r="F19" s="245"/>
      <c r="G19" s="238" t="s">
        <v>161</v>
      </c>
      <c r="H19" s="252" t="str">
        <f>IF(L18&gt;0,"2.00",TINV(0.0455,L18))</f>
        <v>2.00</v>
      </c>
      <c r="I19" s="248"/>
      <c r="J19" s="249"/>
      <c r="K19" s="253">
        <f>K18*H19</f>
        <v>1.0227940819610788</v>
      </c>
      <c r="L19" s="254" t="str">
        <f>H19</f>
        <v>2.00</v>
      </c>
      <c r="T19" s="29"/>
      <c r="U19" s="29"/>
      <c r="AA19" s="49" t="s">
        <v>64</v>
      </c>
      <c r="AB19" s="58">
        <f t="shared" si="12"/>
        <v>6.77348280713196E-2</v>
      </c>
      <c r="AC19" s="37">
        <f t="shared" si="0"/>
        <v>6.77348280713196E-2</v>
      </c>
      <c r="AD19" s="35">
        <f>'Cert of STD'!C9</f>
        <v>1</v>
      </c>
      <c r="AE19" s="36">
        <f t="shared" si="1"/>
        <v>0.5</v>
      </c>
      <c r="AF19" s="63">
        <f t="shared" si="2"/>
        <v>0.1</v>
      </c>
      <c r="AG19" s="36">
        <f t="shared" si="3"/>
        <v>5.7735026918962581E-2</v>
      </c>
      <c r="AH19" s="57">
        <f>((5.2*10^-6*(F4/1000)^2*(ABS(AVERAGE('Data Record'!K16,'Data Record'!Y16)-(AVERAGE('Data Record'!K17,'Data Record'!Y17)))/8*(H4/1000)))*1000000)</f>
        <v>0.10399999999999965</v>
      </c>
      <c r="AI19" s="38">
        <f t="shared" si="4"/>
        <v>6.0044427995720878E-2</v>
      </c>
      <c r="AJ19" s="38">
        <f>(SQRT(1200^2+1200^2))^2/(8*F7)</f>
        <v>5.6514913657770803E-2</v>
      </c>
      <c r="AK19" s="37">
        <f t="shared" si="13"/>
        <v>3.2628900613542434E-2</v>
      </c>
      <c r="AL19" s="104">
        <f>9.8*0.044*(2750*1.2^4)/((77*10^9)*0.1^2)*(1-0.26^2)</f>
        <v>2.9774739455999997E-6</v>
      </c>
      <c r="AM19" s="37">
        <f t="shared" si="14"/>
        <v>1.7190453839972572E-6</v>
      </c>
      <c r="AN19" s="37">
        <f t="shared" si="7"/>
        <v>0.51243664853201265</v>
      </c>
      <c r="AO19" s="39">
        <f t="shared" si="8"/>
        <v>6.77348280713196E-2</v>
      </c>
      <c r="AP19" s="40">
        <f t="shared" si="9"/>
        <v>29481.875428067102</v>
      </c>
      <c r="AQ19" s="34" t="str">
        <f t="shared" si="10"/>
        <v>2.00</v>
      </c>
      <c r="AR19" s="68">
        <f t="shared" si="11"/>
        <v>1.0248732970640253</v>
      </c>
    </row>
    <row r="20" spans="2:44" s="9" customFormat="1" ht="18" customHeight="1">
      <c r="T20" s="29"/>
      <c r="U20" s="29"/>
      <c r="AA20" s="49" t="s">
        <v>65</v>
      </c>
      <c r="AB20" s="58">
        <f t="shared" si="12"/>
        <v>6.77348280713196E-2</v>
      </c>
      <c r="AC20" s="37">
        <f t="shared" si="0"/>
        <v>6.77348280713196E-2</v>
      </c>
      <c r="AD20" s="35">
        <f>'Cert of STD'!C9</f>
        <v>1</v>
      </c>
      <c r="AE20" s="36">
        <f t="shared" si="1"/>
        <v>0.5</v>
      </c>
      <c r="AF20" s="63">
        <f t="shared" si="2"/>
        <v>0.1</v>
      </c>
      <c r="AG20" s="36">
        <f t="shared" si="3"/>
        <v>5.7735026918962581E-2</v>
      </c>
      <c r="AH20" s="57">
        <f>((5.2*10^-6*(F4/1000)^2*(ABS(AVERAGE('Data Record'!K16,'Data Record'!Y16)-(AVERAGE('Data Record'!K17,'Data Record'!Y17)))/8*(H4/1000)))*1000000)</f>
        <v>0.10399999999999965</v>
      </c>
      <c r="AI20" s="38">
        <f t="shared" si="4"/>
        <v>6.0044427995720878E-2</v>
      </c>
      <c r="AJ20" s="38">
        <f>(SQRT(1400^2+1400^2))^2/(8*F7)</f>
        <v>7.6923076923076927E-2</v>
      </c>
      <c r="AK20" s="37">
        <f t="shared" si="13"/>
        <v>4.4411559168432757E-2</v>
      </c>
      <c r="AL20" s="104">
        <f>9.8*0.044*(2750*1.4^4)/((77*10^9)*0.1^2)*(1-0.26^2)</f>
        <v>5.5161380735999983E-6</v>
      </c>
      <c r="AM20" s="37">
        <f t="shared" si="14"/>
        <v>3.1847438016801028E-6</v>
      </c>
      <c r="AN20" s="37">
        <f t="shared" si="7"/>
        <v>0.51332159529717014</v>
      </c>
      <c r="AO20" s="39">
        <f t="shared" si="8"/>
        <v>6.77348280713196E-2</v>
      </c>
      <c r="AP20" s="40">
        <f t="shared" si="9"/>
        <v>29686.057167808627</v>
      </c>
      <c r="AQ20" s="34" t="str">
        <f t="shared" si="10"/>
        <v>2.00</v>
      </c>
      <c r="AR20" s="68">
        <f t="shared" si="11"/>
        <v>1.0266431905943403</v>
      </c>
    </row>
    <row r="21" spans="2:44" s="9" customFormat="1" ht="18" customHeight="1">
      <c r="T21" s="29"/>
      <c r="U21" s="29"/>
      <c r="AA21" s="49" t="s">
        <v>66</v>
      </c>
      <c r="AB21" s="58">
        <f t="shared" si="12"/>
        <v>6.77348280713196E-2</v>
      </c>
      <c r="AC21" s="37">
        <f t="shared" si="0"/>
        <v>6.77348280713196E-2</v>
      </c>
      <c r="AD21" s="35">
        <f>'Cert of STD'!C9</f>
        <v>1</v>
      </c>
      <c r="AE21" s="36">
        <f t="shared" si="1"/>
        <v>0.5</v>
      </c>
      <c r="AF21" s="63">
        <f t="shared" si="2"/>
        <v>0.1</v>
      </c>
      <c r="AG21" s="36">
        <f t="shared" si="3"/>
        <v>5.7735026918962581E-2</v>
      </c>
      <c r="AH21" s="57">
        <f>((5.2*10^-6*(F4/1000)^2*(ABS(AVERAGE('Data Record'!K16,'Data Record'!Y16)-(AVERAGE('Data Record'!K17,'Data Record'!Y17)))/8*(H4/1000)))*1000000)</f>
        <v>0.10399999999999965</v>
      </c>
      <c r="AI21" s="38">
        <f t="shared" si="4"/>
        <v>6.0044427995720878E-2</v>
      </c>
      <c r="AJ21" s="38">
        <f>(SQRT(1500^2+1500^2))^2/(8*F7)</f>
        <v>8.8304552590266858E-2</v>
      </c>
      <c r="AK21" s="37">
        <f t="shared" si="13"/>
        <v>5.0982657208660041E-2</v>
      </c>
      <c r="AL21" s="104">
        <f>9.8*0.044*(2750*1.5^4)/((77*10^9)*0.1^2)*(1-0.26^2)</f>
        <v>7.2692234999999982E-6</v>
      </c>
      <c r="AM21" s="37">
        <f t="shared" si="14"/>
        <v>4.1968881445245529E-6</v>
      </c>
      <c r="AN21" s="37">
        <f t="shared" si="7"/>
        <v>0.5139318096344957</v>
      </c>
      <c r="AO21" s="39">
        <f t="shared" si="8"/>
        <v>6.77348280713196E-2</v>
      </c>
      <c r="AP21" s="40">
        <f t="shared" si="9"/>
        <v>29827.467034099336</v>
      </c>
      <c r="AQ21" s="34" t="str">
        <f t="shared" si="10"/>
        <v>2.00</v>
      </c>
      <c r="AR21" s="68">
        <f t="shared" si="11"/>
        <v>1.0278636192689914</v>
      </c>
    </row>
    <row r="22" spans="2:44" s="9" customFormat="1" ht="18" customHeight="1">
      <c r="T22" s="29"/>
      <c r="U22" s="29"/>
      <c r="AA22" s="49" t="s">
        <v>67</v>
      </c>
      <c r="AB22" s="58">
        <f t="shared" si="12"/>
        <v>6.77348280713196E-2</v>
      </c>
      <c r="AC22" s="37">
        <f t="shared" si="0"/>
        <v>6.77348280713196E-2</v>
      </c>
      <c r="AD22" s="35">
        <f>'Cert of STD'!C9</f>
        <v>1</v>
      </c>
      <c r="AE22" s="36">
        <f t="shared" si="1"/>
        <v>0.5</v>
      </c>
      <c r="AF22" s="63">
        <f t="shared" si="2"/>
        <v>0.1</v>
      </c>
      <c r="AG22" s="36">
        <f t="shared" si="3"/>
        <v>5.7735026918962581E-2</v>
      </c>
      <c r="AH22" s="57">
        <f>((5.2*10^-6*(F4/1000)^2*(ABS(AVERAGE('Data Record'!K16,'Data Record'!Y16)-(AVERAGE('Data Record'!K17,'Data Record'!Y17)))/8*(H4/1000)))*1000000)</f>
        <v>0.10399999999999965</v>
      </c>
      <c r="AI22" s="38">
        <f t="shared" si="4"/>
        <v>6.0044427995720878E-2</v>
      </c>
      <c r="AJ22" s="38">
        <f>(SQRT(1600^2+1600^2))^2/(8*F7)</f>
        <v>0.10047095761381476</v>
      </c>
      <c r="AK22" s="37">
        <f t="shared" si="13"/>
        <v>5.8006934424075438E-2</v>
      </c>
      <c r="AL22" s="104">
        <f>(9.8*0.044)*(2750*(1.6^4))/((77*(10^9))*0.1^2)*(1-0.26^2)</f>
        <v>9.4102880256000047E-6</v>
      </c>
      <c r="AM22" s="37">
        <f t="shared" si="14"/>
        <v>5.4330323247320748E-6</v>
      </c>
      <c r="AN22" s="37">
        <f t="shared" si="7"/>
        <v>0.5146760904406914</v>
      </c>
      <c r="AO22" s="39">
        <f t="shared" si="8"/>
        <v>6.77348280713196E-2</v>
      </c>
      <c r="AP22" s="40">
        <f t="shared" si="9"/>
        <v>30000.628397250948</v>
      </c>
      <c r="AQ22" s="34" t="str">
        <f t="shared" si="10"/>
        <v>2.00</v>
      </c>
      <c r="AR22" s="68">
        <f t="shared" si="11"/>
        <v>1.0293521808813828</v>
      </c>
    </row>
    <row r="23" spans="2:44" s="9" customFormat="1" ht="18" customHeight="1">
      <c r="T23" s="29"/>
      <c r="U23" s="29"/>
      <c r="AA23" s="49" t="s">
        <v>68</v>
      </c>
      <c r="AB23" s="58">
        <f t="shared" si="12"/>
        <v>6.77348280713196E-2</v>
      </c>
      <c r="AC23" s="37">
        <f t="shared" si="0"/>
        <v>6.77348280713196E-2</v>
      </c>
      <c r="AD23" s="35">
        <f>'Cert of STD'!C9</f>
        <v>1</v>
      </c>
      <c r="AE23" s="36">
        <f t="shared" si="1"/>
        <v>0.5</v>
      </c>
      <c r="AF23" s="63">
        <f t="shared" si="2"/>
        <v>0.1</v>
      </c>
      <c r="AG23" s="36">
        <f t="shared" si="3"/>
        <v>5.7735026918962581E-2</v>
      </c>
      <c r="AH23" s="57">
        <f>((5.2*10^-6*(F4/1000)^2*(ABS(AVERAGE('Data Record'!K16,'Data Record'!Y16)-(AVERAGE('Data Record'!K17,'Data Record'!Y17)))/8*(H4/1000)))*1000000)</f>
        <v>0.10399999999999965</v>
      </c>
      <c r="AI23" s="38">
        <f t="shared" si="4"/>
        <v>6.0044427995720878E-2</v>
      </c>
      <c r="AJ23" s="38">
        <f>(SQRT(1800^2+1800^2))^2/(8*F7)</f>
        <v>0.12715855572998433</v>
      </c>
      <c r="AK23" s="37">
        <f t="shared" si="13"/>
        <v>7.3415026380470483E-2</v>
      </c>
      <c r="AL23" s="104">
        <f>9.8*0.044*(2750*1.8^4)/((77*10^9)*0.1^2)*(1-0.26^2)</f>
        <v>1.5073461849600001E-5</v>
      </c>
      <c r="AM23" s="37">
        <f t="shared" si="14"/>
        <v>8.7026672564861151E-6</v>
      </c>
      <c r="AN23" s="37">
        <f t="shared" si="7"/>
        <v>0.51663956466254057</v>
      </c>
      <c r="AO23" s="39">
        <f t="shared" si="8"/>
        <v>6.77348280713196E-2</v>
      </c>
      <c r="AP23" s="40">
        <f t="shared" si="9"/>
        <v>30461.060918886567</v>
      </c>
      <c r="AQ23" s="34" t="str">
        <f t="shared" si="10"/>
        <v>2.00</v>
      </c>
      <c r="AR23" s="68">
        <f t="shared" si="11"/>
        <v>1.0332791293250811</v>
      </c>
    </row>
    <row r="24" spans="2:44" s="9" customFormat="1" ht="18" customHeight="1">
      <c r="T24" s="29"/>
      <c r="U24" s="29"/>
      <c r="AA24" s="49" t="s">
        <v>69</v>
      </c>
      <c r="AB24" s="58">
        <f t="shared" si="12"/>
        <v>6.77348280713196E-2</v>
      </c>
      <c r="AC24" s="37">
        <f t="shared" si="0"/>
        <v>6.77348280713196E-2</v>
      </c>
      <c r="AD24" s="35">
        <f>'Cert of STD'!C9</f>
        <v>1</v>
      </c>
      <c r="AE24" s="36">
        <f t="shared" si="1"/>
        <v>0.5</v>
      </c>
      <c r="AF24" s="63">
        <f t="shared" si="2"/>
        <v>0.1</v>
      </c>
      <c r="AG24" s="36">
        <f t="shared" si="3"/>
        <v>5.7735026918962581E-2</v>
      </c>
      <c r="AH24" s="57">
        <f>((5.2*10^-6*(F4/1000)^2*(ABS(AVERAGE('Data Record'!K16,'Data Record'!Y16)-(AVERAGE('Data Record'!K17,'Data Record'!Y17)))/8*(H4/1000)))*1000000)</f>
        <v>0.10399999999999965</v>
      </c>
      <c r="AI24" s="38">
        <f t="shared" si="4"/>
        <v>6.0044427995720878E-2</v>
      </c>
      <c r="AJ24" s="38">
        <f>(SQRT(2000^2+2000^2))^2/(8*F7)</f>
        <v>0.15698587127158559</v>
      </c>
      <c r="AK24" s="37">
        <f t="shared" si="13"/>
        <v>9.0635835037617879E-2</v>
      </c>
      <c r="AL24" s="104">
        <f>9.8*0.044*(2750*2^4)/((77*10^9)*0.1^2)*(1-0.26^2)</f>
        <v>2.2974336E-5</v>
      </c>
      <c r="AM24" s="37">
        <f t="shared" si="14"/>
        <v>1.326423907405291E-5</v>
      </c>
      <c r="AN24" s="37">
        <f t="shared" si="7"/>
        <v>0.51936646827594124</v>
      </c>
      <c r="AO24" s="39">
        <f t="shared" si="8"/>
        <v>6.77348280713196E-2</v>
      </c>
      <c r="AP24" s="40">
        <f t="shared" si="9"/>
        <v>31109.283315437151</v>
      </c>
      <c r="AQ24" s="34" t="str">
        <f t="shared" si="10"/>
        <v>2.00</v>
      </c>
      <c r="AR24" s="68">
        <f t="shared" si="11"/>
        <v>1.0387329365518825</v>
      </c>
    </row>
    <row r="25" spans="2:44" s="9" customFormat="1" ht="18" customHeight="1">
      <c r="T25" s="29"/>
      <c r="U25" s="29"/>
      <c r="AA25" s="49" t="s">
        <v>70</v>
      </c>
      <c r="AB25" s="58">
        <f t="shared" si="12"/>
        <v>6.77348280713196E-2</v>
      </c>
      <c r="AC25" s="37">
        <f t="shared" si="0"/>
        <v>6.77348280713196E-2</v>
      </c>
      <c r="AD25" s="35">
        <f>'Cert of STD'!C9</f>
        <v>1</v>
      </c>
      <c r="AE25" s="36">
        <f t="shared" si="1"/>
        <v>0.5</v>
      </c>
      <c r="AF25" s="63">
        <f t="shared" si="2"/>
        <v>0.1</v>
      </c>
      <c r="AG25" s="36">
        <f t="shared" si="3"/>
        <v>5.7735026918962581E-2</v>
      </c>
      <c r="AH25" s="57">
        <f>((5.2*10^-6*(F4/1000)^2*(ABS(AVERAGE('Data Record'!K11,'Data Record'!Y16)-(AVERAGE('Data Record'!K17,'Data Record'!Y17)))/8*(H4/1000)))*1000000)</f>
        <v>0.10399999999999965</v>
      </c>
      <c r="AI25" s="38">
        <f t="shared" si="4"/>
        <v>6.0044427995720878E-2</v>
      </c>
      <c r="AJ25" s="38">
        <f>(SQRT(2300^2+2300^2))^2/(8*F7)</f>
        <v>0.2076138147566719</v>
      </c>
      <c r="AK25" s="37">
        <f t="shared" si="13"/>
        <v>0.11986589183724962</v>
      </c>
      <c r="AL25" s="104">
        <f>9.8*0.044*(2750*2.3^4)/((77*10^9)*0.1^2)*(1-0.26^2)</f>
        <v>4.018225725359999E-5</v>
      </c>
      <c r="AM25" s="37">
        <f t="shared" si="14"/>
        <v>2.3199237042012747E-5</v>
      </c>
      <c r="AN25" s="37">
        <f t="shared" si="7"/>
        <v>0.52525660982481859</v>
      </c>
      <c r="AO25" s="39">
        <f t="shared" si="8"/>
        <v>6.77348280713196E-2</v>
      </c>
      <c r="AP25" s="40">
        <f t="shared" si="9"/>
        <v>32544.715799244976</v>
      </c>
      <c r="AQ25" s="34" t="str">
        <f t="shared" si="10"/>
        <v>2.00</v>
      </c>
      <c r="AR25" s="68">
        <f t="shared" si="11"/>
        <v>1.0505132196496372</v>
      </c>
    </row>
    <row r="26" spans="2:44" s="9" customFormat="1" ht="18" customHeight="1">
      <c r="T26" s="29"/>
      <c r="U26" s="29"/>
      <c r="AA26" s="49" t="s">
        <v>71</v>
      </c>
      <c r="AB26" s="58">
        <f t="shared" si="12"/>
        <v>6.77348280713196E-2</v>
      </c>
      <c r="AC26" s="37">
        <f t="shared" si="0"/>
        <v>6.77348280713196E-2</v>
      </c>
      <c r="AD26" s="35">
        <f>'Cert of STD'!C9</f>
        <v>1</v>
      </c>
      <c r="AE26" s="36">
        <f t="shared" si="1"/>
        <v>0.5</v>
      </c>
      <c r="AF26" s="63">
        <f t="shared" si="2"/>
        <v>0.1</v>
      </c>
      <c r="AG26" s="36">
        <f t="shared" si="3"/>
        <v>5.7735026918962581E-2</v>
      </c>
      <c r="AH26" s="57">
        <f>((5.2*10^-6*(F4/1000)^2*(ABS(AVERAGE('Data Record'!K16,'Data Record'!Y16)-(AVERAGE('Data Record'!K17,'Data Record'!Y17)))/8*(H4/1000)))*1000000)</f>
        <v>0.10399999999999965</v>
      </c>
      <c r="AI26" s="38">
        <f t="shared" si="4"/>
        <v>6.0044427995720878E-2</v>
      </c>
      <c r="AJ26" s="38">
        <f>(SQRT(2500^2+2500^2))^2/(8*F7)</f>
        <v>0.24529042386185243</v>
      </c>
      <c r="AK26" s="37">
        <f t="shared" si="13"/>
        <v>0.1416184922462779</v>
      </c>
      <c r="AL26" s="104">
        <f>9.8*0.044*(2750*2.5^4)/((77*10^9)*0.1^2)*(1-0.26^2)</f>
        <v>5.6089687499999988E-5</v>
      </c>
      <c r="AM26" s="37">
        <f t="shared" si="14"/>
        <v>3.2383396176886983E-5</v>
      </c>
      <c r="AN26" s="37">
        <f t="shared" si="7"/>
        <v>0.53064345091154319</v>
      </c>
      <c r="AO26" s="39">
        <f t="shared" si="8"/>
        <v>6.77348280713196E-2</v>
      </c>
      <c r="AP26" s="40">
        <f t="shared" si="9"/>
        <v>33900.461682373396</v>
      </c>
      <c r="AQ26" s="34" t="str">
        <f t="shared" si="10"/>
        <v>2.00</v>
      </c>
      <c r="AR26" s="68">
        <f t="shared" si="11"/>
        <v>1.0612869018230864</v>
      </c>
    </row>
    <row r="27" spans="2:44" s="9" customFormat="1" ht="18" customHeight="1">
      <c r="T27" s="29"/>
      <c r="U27" s="29"/>
      <c r="AA27" s="49" t="s">
        <v>72</v>
      </c>
      <c r="AB27" s="58">
        <f t="shared" si="12"/>
        <v>6.77348280713196E-2</v>
      </c>
      <c r="AC27" s="37">
        <f t="shared" si="0"/>
        <v>6.77348280713196E-2</v>
      </c>
      <c r="AD27" s="35">
        <f>'Cert of STD'!C9</f>
        <v>1</v>
      </c>
      <c r="AE27" s="36">
        <f t="shared" si="1"/>
        <v>0.5</v>
      </c>
      <c r="AF27" s="63">
        <f t="shared" si="2"/>
        <v>0.1</v>
      </c>
      <c r="AG27" s="36">
        <f t="shared" si="3"/>
        <v>5.7735026918962581E-2</v>
      </c>
      <c r="AH27" s="57">
        <f>((5.2*10^-6*(F4/1000)^2*(ABS(AVERAGE('Data Record'!K16,'Data Record'!Y16)-(AVERAGE('Data Record'!K17,'Data Record'!Y17)))/8*(H4/1000)))*1000000)</f>
        <v>0.10399999999999965</v>
      </c>
      <c r="AI27" s="38">
        <f t="shared" si="4"/>
        <v>6.0044427995720878E-2</v>
      </c>
      <c r="AJ27" s="38">
        <f>(SQRT(2600^2+2600^2))^2/(8*F7)</f>
        <v>0.26530612244897961</v>
      </c>
      <c r="AK27" s="37">
        <f t="shared" si="13"/>
        <v>0.1531745612135742</v>
      </c>
      <c r="AL27" s="104">
        <f>9.8*0.044*(2750*2.6^4)/((77*10^9)*0.1^2)*(1-0.26^2)</f>
        <v>6.5617001049600001E-5</v>
      </c>
      <c r="AM27" s="37">
        <f t="shared" si="14"/>
        <v>3.7883993219402519E-5</v>
      </c>
      <c r="AN27" s="37">
        <f t="shared" si="7"/>
        <v>0.53384372361083898</v>
      </c>
      <c r="AO27" s="39">
        <f t="shared" si="8"/>
        <v>6.77348280713196E-2</v>
      </c>
      <c r="AP27" s="40">
        <f t="shared" si="9"/>
        <v>34725.69469704412</v>
      </c>
      <c r="AQ27" s="34" t="str">
        <f t="shared" si="10"/>
        <v>2.00</v>
      </c>
      <c r="AR27" s="68">
        <f t="shared" si="11"/>
        <v>1.067687447221678</v>
      </c>
    </row>
    <row r="28" spans="2:44" s="9" customFormat="1" ht="18" customHeight="1">
      <c r="T28" s="29"/>
      <c r="U28" s="29"/>
      <c r="AA28" s="49" t="s">
        <v>73</v>
      </c>
      <c r="AB28" s="58">
        <f t="shared" si="12"/>
        <v>6.77348280713196E-2</v>
      </c>
      <c r="AC28" s="37">
        <f t="shared" si="0"/>
        <v>6.77348280713196E-2</v>
      </c>
      <c r="AD28" s="35">
        <f>'Cert of STD'!C9</f>
        <v>1</v>
      </c>
      <c r="AE28" s="36">
        <f t="shared" si="1"/>
        <v>0.5</v>
      </c>
      <c r="AF28" s="63">
        <f t="shared" si="2"/>
        <v>0.1</v>
      </c>
      <c r="AG28" s="36">
        <f t="shared" si="3"/>
        <v>5.7735026918962581E-2</v>
      </c>
      <c r="AH28" s="57">
        <f>((5.2*10^-6*(F4/1000)^2*(ABS(AVERAGE('Data Record'!K16,'Data Record'!Y16)-(AVERAGE('Data Record'!K17,'Data Record'!Y17)))/8*(H4/1000)))*1000000)</f>
        <v>0.10399999999999965</v>
      </c>
      <c r="AI28" s="38">
        <f t="shared" si="4"/>
        <v>6.0044427995720878E-2</v>
      </c>
      <c r="AJ28" s="38">
        <f>(SQRT(2800^2+2800^2))^2/(8*F7)</f>
        <v>0.30769230769230771</v>
      </c>
      <c r="AK28" s="37">
        <f t="shared" si="13"/>
        <v>0.17764623667373103</v>
      </c>
      <c r="AL28" s="104">
        <f>9.8*0.044*(2750*2.8^4)/((77*10^9)*0.1^2)*(1-0.26^2)</f>
        <v>8.8258209177599972E-5</v>
      </c>
      <c r="AM28" s="37">
        <f t="shared" si="14"/>
        <v>5.0955900826881645E-5</v>
      </c>
      <c r="AN28" s="37">
        <f t="shared" si="7"/>
        <v>0.54137312604280696</v>
      </c>
      <c r="AO28" s="39">
        <f t="shared" si="8"/>
        <v>6.77348280713196E-2</v>
      </c>
      <c r="AP28" s="40">
        <f t="shared" si="9"/>
        <v>36726.636113214459</v>
      </c>
      <c r="AQ28" s="34" t="str">
        <f t="shared" si="10"/>
        <v>2.00</v>
      </c>
      <c r="AR28" s="68">
        <f t="shared" si="11"/>
        <v>1.0827462520856139</v>
      </c>
    </row>
    <row r="29" spans="2:44" s="9" customFormat="1" ht="18" customHeight="1">
      <c r="T29" s="29"/>
      <c r="U29" s="29"/>
      <c r="AA29" s="49" t="s">
        <v>74</v>
      </c>
      <c r="AB29" s="58">
        <f t="shared" si="12"/>
        <v>6.77348280713196E-2</v>
      </c>
      <c r="AC29" s="37">
        <f t="shared" si="0"/>
        <v>6.77348280713196E-2</v>
      </c>
      <c r="AD29" s="35">
        <f>'Cert of STD'!C9</f>
        <v>1</v>
      </c>
      <c r="AE29" s="36">
        <f t="shared" si="1"/>
        <v>0.5</v>
      </c>
      <c r="AF29" s="63">
        <f t="shared" si="2"/>
        <v>0.1</v>
      </c>
      <c r="AG29" s="36">
        <f t="shared" si="3"/>
        <v>5.7735026918962581E-2</v>
      </c>
      <c r="AH29" s="57">
        <f>((5.2*10^-6*(F4/1000)^2*(ABS(AVERAGE('Data Record'!K16,'Data Record'!Y16)-(AVERAGE('Data Record'!K17,'Data Record'!Y17)))/8*(H4/1000)))*1000000)</f>
        <v>0.10399999999999965</v>
      </c>
      <c r="AI29" s="38">
        <f t="shared" si="4"/>
        <v>6.0044427995720878E-2</v>
      </c>
      <c r="AJ29" s="38">
        <f>(SQRT(3000^2+3000^2))^2/(8*F7)</f>
        <v>0.35321821036106743</v>
      </c>
      <c r="AK29" s="37">
        <f t="shared" si="13"/>
        <v>0.20393062883464017</v>
      </c>
      <c r="AL29" s="104">
        <f>9.8*0.044*(2750*3^4)/((77*10^9)*0.1^2)*(1-0.26^2)</f>
        <v>1.1630757599999997E-4</v>
      </c>
      <c r="AM29" s="37">
        <f>(AL29/SQRT(3))</f>
        <v>6.7150210312392846E-5</v>
      </c>
      <c r="AN29" s="37">
        <f t="shared" si="7"/>
        <v>0.55055824350068572</v>
      </c>
      <c r="AO29" s="39">
        <f t="shared" si="8"/>
        <v>6.77348280713196E-2</v>
      </c>
      <c r="AP29" s="40">
        <f t="shared" si="9"/>
        <v>39283.254184185134</v>
      </c>
      <c r="AQ29" s="34" t="str">
        <f t="shared" si="10"/>
        <v>2.00</v>
      </c>
      <c r="AR29" s="68">
        <f t="shared" si="11"/>
        <v>1.1011164870013714</v>
      </c>
    </row>
    <row r="30" spans="2:44" s="9" customFormat="1" ht="18" customHeight="1">
      <c r="B30" s="29"/>
      <c r="C30" s="29"/>
      <c r="D30" s="29"/>
      <c r="E30" s="29"/>
      <c r="F30" s="29"/>
      <c r="G30" s="29"/>
      <c r="H30" s="29"/>
      <c r="J30" s="60"/>
      <c r="M30" s="29"/>
      <c r="O30" s="29"/>
      <c r="P30" s="29"/>
      <c r="Q30" s="29"/>
      <c r="R30" s="29"/>
      <c r="S30" s="29"/>
      <c r="T30" s="29"/>
      <c r="U30" s="29"/>
    </row>
    <row r="31" spans="2:44" s="9" customFormat="1" ht="18" customHeight="1">
      <c r="B31" s="29"/>
      <c r="C31" s="29"/>
      <c r="D31" s="29"/>
      <c r="E31" s="29"/>
      <c r="F31" s="29"/>
      <c r="G31" s="29"/>
      <c r="H31" s="29"/>
      <c r="J31" s="111"/>
      <c r="K31" s="61"/>
      <c r="L31" s="61"/>
      <c r="M31" s="29"/>
      <c r="N31" s="29"/>
      <c r="O31" s="29"/>
      <c r="P31" s="29"/>
      <c r="Q31" s="29"/>
      <c r="R31" s="29"/>
      <c r="S31" s="29"/>
      <c r="T31" s="29"/>
      <c r="U31" s="29"/>
    </row>
    <row r="32" spans="2:44" s="9" customFormat="1" ht="18" customHeight="1">
      <c r="B32" s="29"/>
      <c r="C32" s="29"/>
      <c r="D32" s="29"/>
      <c r="E32" s="29"/>
      <c r="F32" s="29"/>
      <c r="G32" s="29"/>
      <c r="H32" s="29"/>
      <c r="I32" s="60"/>
      <c r="J32" s="6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2:21" s="9" customFormat="1" ht="18" customHeight="1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2:21" s="9" customFormat="1" ht="18" customHeight="1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2:21" s="9" customFormat="1" ht="18" customHeight="1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2:21" s="9" customFormat="1" ht="18" customHeight="1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2:21" s="9" customFormat="1" ht="18" customHeight="1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2:21" s="9" customFormat="1" ht="18" customHeight="1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2:21" s="9" customFormat="1" ht="18" customHeight="1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2:21" s="9" customFormat="1" ht="18" customHeight="1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2:21" s="9" customFormat="1" ht="18" customHeight="1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2:21" s="9" customFormat="1" ht="1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2:21" s="9" customFormat="1" ht="1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2:21" s="9" customFormat="1" ht="12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2:21" s="9" customFormat="1" ht="12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2:21" s="9" customFormat="1" ht="12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2:21" s="9" customFormat="1" ht="12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2:21" s="9" customFormat="1" ht="1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2:21" s="9" customFormat="1" ht="12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2:21" s="9" customFormat="1" ht="1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2:21" s="9" customFormat="1" ht="12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2:21" s="9" customFormat="1" ht="12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2:21" s="9" customFormat="1" ht="12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2:21" s="9" customFormat="1" ht="12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2:21" s="9" customFormat="1" ht="12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2:21" s="9" customFormat="1" ht="12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2:21" s="9" customFormat="1" ht="12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2:21" s="9" customFormat="1" ht="12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2:21" s="9" customFormat="1" ht="12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2:21" s="9" customFormat="1" ht="12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2:21" s="9" customFormat="1" ht="1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2:21" s="9" customFormat="1" ht="1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2:21" s="9" customFormat="1" ht="1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2:21" s="9" customFormat="1" ht="1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2:21" s="9" customFormat="1" ht="1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2:21" s="9" customFormat="1" ht="1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2:21" s="9" customFormat="1" ht="1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2:21" s="9" customFormat="1" ht="1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2:21" s="9" customFormat="1" ht="1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2:21" s="9" customFormat="1" ht="1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2:21" s="9" customFormat="1" ht="1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2:21" s="9" customFormat="1" ht="1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2:21" s="9" customFormat="1" ht="1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2:21" s="9" customFormat="1" ht="1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2:21" s="9" customFormat="1" ht="12">
      <c r="B75" s="22"/>
      <c r="C75" s="22"/>
      <c r="D75" s="22"/>
      <c r="E75" s="22"/>
      <c r="F75" s="22"/>
      <c r="G75" s="23"/>
      <c r="H75" s="24"/>
      <c r="I75" s="24"/>
      <c r="J75" s="24"/>
      <c r="K75" s="24"/>
      <c r="L75" s="24"/>
      <c r="M75" s="24"/>
      <c r="N75" s="24"/>
      <c r="O75" s="21"/>
      <c r="P75" s="26"/>
      <c r="Q75" s="23"/>
      <c r="R75" s="24"/>
      <c r="S75" s="19"/>
      <c r="T75" s="20"/>
      <c r="U75" s="17"/>
    </row>
    <row r="76" spans="2:21" s="9" customFormat="1" ht="12">
      <c r="B76" s="22"/>
      <c r="C76" s="22"/>
      <c r="D76" s="22"/>
      <c r="E76" s="22"/>
      <c r="F76" s="22"/>
      <c r="G76" s="23"/>
      <c r="H76" s="24"/>
      <c r="I76" s="24"/>
      <c r="J76" s="24"/>
      <c r="K76" s="24"/>
      <c r="L76" s="24"/>
      <c r="M76" s="24"/>
      <c r="N76" s="24"/>
      <c r="O76" s="21"/>
      <c r="P76" s="26"/>
      <c r="Q76" s="23"/>
      <c r="R76" s="24"/>
      <c r="S76" s="19"/>
      <c r="T76" s="20"/>
      <c r="U76" s="17"/>
    </row>
    <row r="77" spans="2:21" s="9" customFormat="1" ht="12">
      <c r="B77" s="22"/>
      <c r="C77" s="22"/>
      <c r="D77" s="22"/>
      <c r="E77" s="22"/>
      <c r="F77" s="22"/>
      <c r="G77" s="23"/>
      <c r="H77" s="24"/>
      <c r="I77" s="24"/>
      <c r="J77" s="24"/>
      <c r="K77" s="24"/>
      <c r="L77" s="24"/>
      <c r="M77" s="24"/>
      <c r="N77" s="24"/>
      <c r="O77" s="21"/>
      <c r="P77" s="26"/>
      <c r="Q77" s="23"/>
      <c r="R77" s="24"/>
      <c r="S77" s="19"/>
      <c r="T77" s="20"/>
      <c r="U77" s="17"/>
    </row>
    <row r="78" spans="2:21" s="9" customFormat="1" ht="12">
      <c r="B78" s="22"/>
      <c r="C78" s="22"/>
      <c r="D78" s="22"/>
      <c r="E78" s="22"/>
      <c r="F78" s="22"/>
      <c r="G78" s="23"/>
      <c r="H78" s="24"/>
      <c r="I78" s="24"/>
      <c r="J78" s="24"/>
      <c r="K78" s="24"/>
      <c r="L78" s="24"/>
      <c r="M78" s="24"/>
      <c r="N78" s="24"/>
      <c r="O78" s="21"/>
      <c r="P78" s="26"/>
      <c r="Q78" s="23"/>
      <c r="R78" s="24"/>
      <c r="S78" s="19"/>
      <c r="T78" s="20"/>
      <c r="U78" s="17"/>
    </row>
    <row r="79" spans="2:21" s="9" customFormat="1" ht="12">
      <c r="B79" s="22"/>
      <c r="C79" s="22"/>
      <c r="D79" s="22"/>
      <c r="E79" s="22"/>
      <c r="F79" s="22"/>
      <c r="G79" s="23"/>
      <c r="H79" s="24"/>
      <c r="I79" s="24"/>
      <c r="J79" s="24"/>
      <c r="K79" s="24"/>
      <c r="L79" s="24"/>
      <c r="M79" s="24"/>
      <c r="N79" s="24"/>
      <c r="O79" s="21"/>
      <c r="P79" s="26"/>
      <c r="Q79" s="23"/>
      <c r="R79" s="24"/>
      <c r="S79" s="19"/>
      <c r="T79" s="20"/>
      <c r="U79" s="17"/>
    </row>
    <row r="80" spans="2:21" s="9" customFormat="1" ht="12">
      <c r="B80" s="22"/>
      <c r="C80" s="22"/>
      <c r="D80" s="22"/>
      <c r="E80" s="22"/>
      <c r="F80" s="22"/>
      <c r="G80" s="23"/>
      <c r="H80" s="24"/>
      <c r="I80" s="24"/>
      <c r="J80" s="24"/>
      <c r="K80" s="24"/>
      <c r="L80" s="24"/>
      <c r="M80" s="24"/>
      <c r="N80" s="24"/>
      <c r="O80" s="21"/>
      <c r="P80" s="26"/>
      <c r="Q80" s="23"/>
      <c r="R80" s="24"/>
      <c r="S80" s="19"/>
      <c r="T80" s="20"/>
      <c r="U80" s="17"/>
    </row>
    <row r="81" spans="2:21" s="9" customFormat="1" ht="12">
      <c r="B81" s="22"/>
      <c r="C81" s="22"/>
      <c r="D81" s="22"/>
      <c r="E81" s="22"/>
      <c r="F81" s="22"/>
      <c r="G81" s="23"/>
      <c r="H81" s="24"/>
      <c r="I81" s="24"/>
      <c r="J81" s="24"/>
      <c r="K81" s="24"/>
      <c r="L81" s="24"/>
      <c r="M81" s="24"/>
      <c r="N81" s="24"/>
      <c r="O81" s="21"/>
      <c r="P81" s="26"/>
      <c r="Q81" s="23"/>
      <c r="R81" s="24"/>
      <c r="S81" s="19"/>
      <c r="T81" s="20"/>
      <c r="U81" s="17"/>
    </row>
    <row r="82" spans="2:21" s="9" customFormat="1" ht="12">
      <c r="B82" s="22"/>
      <c r="C82" s="22"/>
      <c r="D82" s="22"/>
      <c r="E82" s="22"/>
      <c r="F82" s="22"/>
      <c r="G82" s="23"/>
      <c r="H82" s="24"/>
      <c r="I82" s="24"/>
      <c r="J82" s="24"/>
      <c r="K82" s="24"/>
      <c r="L82" s="24"/>
      <c r="M82" s="24"/>
      <c r="N82" s="24"/>
      <c r="O82" s="21"/>
      <c r="P82" s="26"/>
      <c r="Q82" s="23"/>
      <c r="R82" s="24"/>
      <c r="S82" s="19"/>
      <c r="T82" s="20"/>
      <c r="U82" s="17"/>
    </row>
    <row r="83" spans="2:21" s="9" customFormat="1" ht="12">
      <c r="B83" s="22"/>
      <c r="C83" s="22"/>
      <c r="D83" s="22"/>
      <c r="E83" s="22"/>
      <c r="F83" s="22"/>
      <c r="G83" s="23"/>
      <c r="H83" s="24"/>
      <c r="I83" s="24"/>
      <c r="J83" s="24"/>
      <c r="K83" s="24"/>
      <c r="L83" s="24"/>
      <c r="M83" s="24"/>
      <c r="N83" s="24"/>
      <c r="O83" s="21"/>
      <c r="P83" s="26"/>
      <c r="Q83" s="23"/>
      <c r="R83" s="24"/>
      <c r="S83" s="19"/>
      <c r="T83" s="20"/>
      <c r="U83" s="17"/>
    </row>
    <row r="84" spans="2:21" s="9" customFormat="1" ht="12">
      <c r="B84" s="22"/>
      <c r="C84" s="22"/>
      <c r="D84" s="22"/>
      <c r="E84" s="22"/>
      <c r="F84" s="22"/>
      <c r="G84" s="23"/>
      <c r="H84" s="24"/>
      <c r="I84" s="24"/>
      <c r="J84" s="24"/>
      <c r="K84" s="24"/>
      <c r="L84" s="24"/>
      <c r="M84" s="24"/>
      <c r="N84" s="24"/>
      <c r="O84" s="21"/>
      <c r="P84" s="26"/>
      <c r="Q84" s="23"/>
      <c r="R84" s="24"/>
      <c r="S84" s="19"/>
      <c r="T84" s="20"/>
      <c r="U84" s="17"/>
    </row>
    <row r="85" spans="2:21" s="9" customFormat="1" ht="12">
      <c r="B85" s="22"/>
      <c r="C85" s="22"/>
      <c r="D85" s="22"/>
      <c r="E85" s="22"/>
      <c r="F85" s="22"/>
      <c r="G85" s="23"/>
      <c r="H85" s="24"/>
      <c r="I85" s="24"/>
      <c r="J85" s="24"/>
      <c r="K85" s="24"/>
      <c r="L85" s="24"/>
      <c r="M85" s="24"/>
      <c r="N85" s="24"/>
      <c r="O85" s="21"/>
      <c r="P85" s="26"/>
      <c r="Q85" s="23"/>
      <c r="R85" s="24"/>
      <c r="S85" s="19"/>
      <c r="T85" s="20"/>
      <c r="U85" s="17"/>
    </row>
    <row r="86" spans="2:21" s="9" customFormat="1" ht="12">
      <c r="B86" s="22"/>
      <c r="C86" s="22"/>
      <c r="D86" s="22"/>
      <c r="E86" s="22"/>
      <c r="F86" s="22"/>
      <c r="G86" s="23"/>
      <c r="H86" s="24"/>
      <c r="I86" s="24"/>
      <c r="J86" s="24"/>
      <c r="K86" s="24"/>
      <c r="L86" s="24"/>
      <c r="M86" s="24"/>
      <c r="N86" s="24"/>
      <c r="O86" s="21"/>
      <c r="P86" s="26"/>
      <c r="Q86" s="23"/>
      <c r="R86" s="24"/>
      <c r="S86" s="19"/>
      <c r="T86" s="20"/>
      <c r="U86" s="17"/>
    </row>
    <row r="87" spans="2:21" s="9" customFormat="1" ht="12">
      <c r="B87" s="22"/>
      <c r="C87" s="22"/>
      <c r="D87" s="22"/>
      <c r="E87" s="22"/>
      <c r="F87" s="22"/>
      <c r="G87" s="23"/>
      <c r="H87" s="24"/>
      <c r="I87" s="24"/>
      <c r="J87" s="24"/>
      <c r="K87" s="24"/>
      <c r="L87" s="24"/>
      <c r="M87" s="24"/>
      <c r="N87" s="24"/>
      <c r="O87" s="21"/>
      <c r="P87" s="26"/>
      <c r="Q87" s="23"/>
      <c r="R87" s="24"/>
      <c r="S87" s="19"/>
      <c r="T87" s="20"/>
      <c r="U87" s="17"/>
    </row>
    <row r="88" spans="2:21" s="9" customFormat="1" ht="12">
      <c r="B88" s="22"/>
      <c r="C88" s="22"/>
      <c r="D88" s="22"/>
      <c r="E88" s="22"/>
      <c r="F88" s="22"/>
      <c r="G88" s="23"/>
      <c r="H88" s="24"/>
      <c r="I88" s="24"/>
      <c r="J88" s="24"/>
      <c r="K88" s="24"/>
      <c r="L88" s="24"/>
      <c r="M88" s="24"/>
      <c r="N88" s="24"/>
      <c r="O88" s="21"/>
      <c r="P88" s="26"/>
      <c r="Q88" s="23"/>
      <c r="R88" s="24"/>
      <c r="S88" s="19"/>
      <c r="T88" s="20"/>
      <c r="U88" s="17"/>
    </row>
    <row r="89" spans="2:21" s="9" customFormat="1" ht="12">
      <c r="B89" s="22"/>
      <c r="C89" s="22"/>
      <c r="D89" s="22"/>
      <c r="E89" s="22"/>
      <c r="F89" s="22"/>
      <c r="G89" s="23"/>
      <c r="H89" s="24"/>
      <c r="I89" s="24"/>
      <c r="J89" s="24"/>
      <c r="K89" s="24"/>
      <c r="L89" s="24"/>
      <c r="M89" s="24"/>
      <c r="N89" s="24"/>
      <c r="O89" s="21"/>
      <c r="P89" s="26"/>
      <c r="Q89" s="23"/>
      <c r="R89" s="24"/>
      <c r="S89" s="19"/>
      <c r="T89" s="20"/>
      <c r="U89" s="17"/>
    </row>
    <row r="90" spans="2:21" s="9" customFormat="1" ht="12">
      <c r="B90" s="22"/>
      <c r="C90" s="22"/>
      <c r="D90" s="22"/>
      <c r="E90" s="22"/>
      <c r="F90" s="22"/>
      <c r="G90" s="23"/>
      <c r="H90" s="24"/>
      <c r="I90" s="24"/>
      <c r="J90" s="24"/>
      <c r="K90" s="24"/>
      <c r="L90" s="24"/>
      <c r="M90" s="24"/>
      <c r="N90" s="24"/>
      <c r="O90" s="21"/>
      <c r="P90" s="26"/>
      <c r="Q90" s="23"/>
      <c r="R90" s="24"/>
      <c r="S90" s="19"/>
      <c r="T90" s="20"/>
      <c r="U90" s="17"/>
    </row>
    <row r="91" spans="2:21" s="9" customFormat="1" ht="12">
      <c r="B91" s="27"/>
      <c r="C91" s="27"/>
      <c r="D91" s="27"/>
      <c r="E91" s="27"/>
      <c r="F91" s="27"/>
      <c r="G91" s="2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9"/>
      <c r="T91" s="20"/>
      <c r="U91" s="17"/>
    </row>
    <row r="92" spans="2:21" s="9" customFormat="1" ht="12">
      <c r="B92" s="22"/>
      <c r="C92" s="22"/>
      <c r="D92" s="22"/>
      <c r="E92" s="22"/>
      <c r="F92" s="22"/>
      <c r="G92" s="23"/>
      <c r="H92" s="26"/>
      <c r="I92" s="26"/>
      <c r="J92" s="26"/>
      <c r="K92" s="26"/>
      <c r="L92" s="26"/>
      <c r="M92" s="26"/>
      <c r="N92" s="26"/>
      <c r="O92" s="25"/>
      <c r="P92" s="26"/>
      <c r="Q92" s="25"/>
      <c r="R92" s="26"/>
      <c r="S92" s="19"/>
      <c r="T92" s="20"/>
      <c r="U92" s="17"/>
    </row>
    <row r="93" spans="2:21" s="9" customFormat="1" ht="12">
      <c r="B93" s="27"/>
      <c r="C93" s="27"/>
      <c r="D93" s="27"/>
      <c r="E93" s="27"/>
      <c r="F93" s="27"/>
      <c r="G93" s="2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9"/>
      <c r="T93" s="20"/>
      <c r="U93" s="17"/>
    </row>
    <row r="94" spans="2:21" s="9" customFormat="1" ht="12">
      <c r="B94" s="22"/>
      <c r="C94" s="22"/>
      <c r="D94" s="22"/>
      <c r="E94" s="22"/>
      <c r="F94" s="22"/>
      <c r="G94" s="23"/>
      <c r="H94" s="26"/>
      <c r="I94" s="26"/>
      <c r="J94" s="26"/>
      <c r="K94" s="26"/>
      <c r="L94" s="26"/>
      <c r="M94" s="26"/>
      <c r="N94" s="26"/>
      <c r="O94" s="21"/>
      <c r="P94" s="26"/>
      <c r="Q94" s="23"/>
      <c r="R94" s="24"/>
      <c r="S94" s="19"/>
      <c r="T94" s="20"/>
      <c r="U94" s="17"/>
    </row>
    <row r="95" spans="2:21" s="9" customFormat="1" ht="12">
      <c r="B95" s="22"/>
      <c r="C95" s="22"/>
      <c r="D95" s="22"/>
      <c r="E95" s="22"/>
      <c r="F95" s="22"/>
      <c r="G95" s="23"/>
      <c r="H95" s="24"/>
      <c r="I95" s="24"/>
      <c r="J95" s="24"/>
      <c r="K95" s="24"/>
      <c r="L95" s="24"/>
      <c r="M95" s="24"/>
      <c r="N95" s="24"/>
      <c r="O95" s="21"/>
      <c r="P95" s="26"/>
      <c r="Q95" s="23"/>
      <c r="R95" s="24"/>
      <c r="S95" s="19"/>
      <c r="T95" s="20"/>
      <c r="U95" s="17"/>
    </row>
    <row r="96" spans="2:21" s="9" customFormat="1" ht="12">
      <c r="B96" s="22"/>
      <c r="C96" s="22"/>
      <c r="D96" s="22"/>
      <c r="E96" s="22"/>
      <c r="F96" s="22"/>
      <c r="G96" s="23"/>
      <c r="H96" s="28"/>
      <c r="I96" s="28"/>
      <c r="J96" s="28"/>
      <c r="K96" s="28"/>
      <c r="L96" s="28"/>
      <c r="M96" s="28"/>
      <c r="N96" s="28"/>
      <c r="O96" s="21"/>
      <c r="P96" s="26"/>
      <c r="Q96" s="23"/>
      <c r="R96" s="28"/>
      <c r="S96" s="19"/>
      <c r="T96" s="20"/>
      <c r="U96" s="17"/>
    </row>
    <row r="97" spans="2:21" s="9" customFormat="1" ht="12">
      <c r="B97" s="22"/>
      <c r="C97" s="22"/>
      <c r="D97" s="22"/>
      <c r="E97" s="22"/>
      <c r="F97" s="22"/>
      <c r="G97" s="23"/>
      <c r="H97" s="28"/>
      <c r="I97" s="28"/>
      <c r="J97" s="28"/>
      <c r="K97" s="28"/>
      <c r="L97" s="28"/>
      <c r="M97" s="28"/>
      <c r="N97" s="28"/>
      <c r="O97" s="21"/>
      <c r="P97" s="26"/>
      <c r="Q97" s="23"/>
      <c r="R97" s="28"/>
      <c r="S97" s="19"/>
      <c r="T97" s="20"/>
      <c r="U97" s="17"/>
    </row>
    <row r="98" spans="2:21" s="9" customFormat="1" ht="12">
      <c r="B98" s="22"/>
      <c r="C98" s="22"/>
      <c r="D98" s="22"/>
      <c r="E98" s="22"/>
      <c r="F98" s="22"/>
      <c r="G98" s="23"/>
      <c r="H98" s="28"/>
      <c r="I98" s="28"/>
      <c r="J98" s="28"/>
      <c r="K98" s="28"/>
      <c r="L98" s="28"/>
      <c r="M98" s="28"/>
      <c r="N98" s="28"/>
      <c r="O98" s="21"/>
      <c r="P98" s="26"/>
      <c r="Q98" s="23"/>
      <c r="R98" s="28"/>
      <c r="S98" s="19"/>
      <c r="T98" s="20"/>
      <c r="U98" s="17"/>
    </row>
    <row r="99" spans="2:21" s="9" customFormat="1" ht="12">
      <c r="B99" s="22"/>
      <c r="C99" s="22"/>
      <c r="D99" s="22"/>
      <c r="E99" s="22"/>
      <c r="F99" s="22"/>
      <c r="G99" s="23"/>
      <c r="H99" s="28"/>
      <c r="I99" s="28"/>
      <c r="J99" s="28"/>
      <c r="K99" s="28"/>
      <c r="L99" s="28"/>
      <c r="M99" s="28"/>
      <c r="N99" s="28"/>
      <c r="O99" s="21"/>
      <c r="P99" s="26"/>
      <c r="Q99" s="23"/>
      <c r="R99" s="28"/>
      <c r="S99" s="19"/>
      <c r="T99" s="20"/>
      <c r="U99" s="17"/>
    </row>
    <row r="100" spans="2:21" s="9" customFormat="1" ht="12">
      <c r="B100" s="22"/>
      <c r="C100" s="22"/>
      <c r="D100" s="22"/>
      <c r="E100" s="22"/>
      <c r="F100" s="22"/>
      <c r="G100" s="23"/>
      <c r="H100" s="28"/>
      <c r="I100" s="28"/>
      <c r="J100" s="28"/>
      <c r="K100" s="28"/>
      <c r="L100" s="28"/>
      <c r="M100" s="28"/>
      <c r="N100" s="28"/>
      <c r="O100" s="21"/>
      <c r="P100" s="26"/>
      <c r="Q100" s="23"/>
      <c r="R100" s="28"/>
      <c r="S100" s="19"/>
      <c r="T100" s="20"/>
      <c r="U100" s="17"/>
    </row>
    <row r="101" spans="2:21" s="9" customFormat="1" ht="12">
      <c r="B101" s="22"/>
      <c r="C101" s="22"/>
      <c r="D101" s="22"/>
      <c r="E101" s="22"/>
      <c r="F101" s="22"/>
      <c r="G101" s="23"/>
      <c r="H101" s="28"/>
      <c r="I101" s="28"/>
      <c r="J101" s="28"/>
      <c r="K101" s="28"/>
      <c r="L101" s="28"/>
      <c r="M101" s="28"/>
      <c r="N101" s="28"/>
      <c r="O101" s="21"/>
      <c r="P101" s="26"/>
      <c r="Q101" s="23"/>
      <c r="R101" s="28"/>
      <c r="S101" s="19"/>
      <c r="T101" s="20"/>
      <c r="U101" s="17"/>
    </row>
    <row r="102" spans="2:21" s="9" customFormat="1" ht="12">
      <c r="B102" s="22"/>
      <c r="C102" s="22"/>
      <c r="D102" s="22"/>
      <c r="E102" s="22"/>
      <c r="F102" s="22"/>
      <c r="G102" s="23"/>
      <c r="H102" s="28"/>
      <c r="I102" s="28"/>
      <c r="J102" s="28"/>
      <c r="K102" s="28"/>
      <c r="L102" s="28"/>
      <c r="M102" s="28"/>
      <c r="N102" s="28"/>
      <c r="O102" s="21"/>
      <c r="P102" s="26"/>
      <c r="Q102" s="23"/>
      <c r="R102" s="28"/>
      <c r="S102" s="19"/>
      <c r="T102" s="20"/>
      <c r="U102" s="17"/>
    </row>
    <row r="103" spans="2:21" s="9" customFormat="1" ht="12">
      <c r="B103" s="22"/>
      <c r="C103" s="22"/>
      <c r="D103" s="22"/>
      <c r="E103" s="22"/>
      <c r="F103" s="22"/>
      <c r="G103" s="23"/>
      <c r="H103" s="28"/>
      <c r="I103" s="28"/>
      <c r="J103" s="28"/>
      <c r="K103" s="28"/>
      <c r="L103" s="28"/>
      <c r="M103" s="28"/>
      <c r="N103" s="28"/>
      <c r="O103" s="21"/>
      <c r="P103" s="26"/>
      <c r="Q103" s="23"/>
      <c r="R103" s="28"/>
      <c r="S103" s="19"/>
      <c r="T103" s="20"/>
      <c r="U103" s="17"/>
    </row>
    <row r="104" spans="2:21" s="9" customFormat="1" ht="12">
      <c r="B104" s="22"/>
      <c r="C104" s="22"/>
      <c r="D104" s="22"/>
      <c r="E104" s="22"/>
      <c r="F104" s="22"/>
      <c r="G104" s="23"/>
      <c r="H104" s="28"/>
      <c r="I104" s="28"/>
      <c r="J104" s="28"/>
      <c r="K104" s="28"/>
      <c r="L104" s="28"/>
      <c r="M104" s="28"/>
      <c r="N104" s="28"/>
      <c r="O104" s="21"/>
      <c r="P104" s="26"/>
      <c r="Q104" s="23"/>
      <c r="R104" s="28"/>
      <c r="S104" s="19"/>
      <c r="T104" s="20"/>
      <c r="U104" s="17"/>
    </row>
    <row r="105" spans="2:21" s="9" customFormat="1" ht="12">
      <c r="B105" s="22"/>
      <c r="C105" s="22"/>
      <c r="D105" s="22"/>
      <c r="E105" s="22"/>
      <c r="F105" s="22"/>
      <c r="G105" s="23"/>
      <c r="H105" s="28"/>
      <c r="I105" s="28"/>
      <c r="J105" s="28"/>
      <c r="K105" s="28"/>
      <c r="L105" s="28"/>
      <c r="M105" s="28"/>
      <c r="N105" s="28"/>
      <c r="O105" s="21"/>
      <c r="P105" s="26"/>
      <c r="Q105" s="23"/>
      <c r="R105" s="28"/>
      <c r="S105" s="19"/>
      <c r="T105" s="20"/>
      <c r="U105" s="17"/>
    </row>
    <row r="106" spans="2:21" s="9" customFormat="1" ht="12">
      <c r="B106" s="22"/>
      <c r="C106" s="22"/>
      <c r="D106" s="22"/>
      <c r="E106" s="22"/>
      <c r="F106" s="22"/>
      <c r="G106" s="23"/>
      <c r="H106" s="28"/>
      <c r="I106" s="28"/>
      <c r="J106" s="28"/>
      <c r="K106" s="28"/>
      <c r="L106" s="28"/>
      <c r="M106" s="28"/>
      <c r="N106" s="28"/>
      <c r="O106" s="21"/>
      <c r="P106" s="26"/>
      <c r="Q106" s="23"/>
      <c r="R106" s="28"/>
      <c r="S106" s="19"/>
      <c r="T106" s="20"/>
      <c r="U106" s="17"/>
    </row>
    <row r="107" spans="2:21" s="9" customFormat="1" ht="12">
      <c r="B107" s="22"/>
      <c r="C107" s="22"/>
      <c r="D107" s="22"/>
      <c r="E107" s="22"/>
      <c r="F107" s="22"/>
      <c r="G107" s="23"/>
      <c r="H107" s="28"/>
      <c r="I107" s="28"/>
      <c r="J107" s="28"/>
      <c r="K107" s="28"/>
      <c r="L107" s="28"/>
      <c r="M107" s="28"/>
      <c r="N107" s="28"/>
      <c r="O107" s="21"/>
      <c r="P107" s="26"/>
      <c r="Q107" s="23"/>
      <c r="R107" s="28"/>
      <c r="S107" s="19"/>
      <c r="T107" s="20"/>
      <c r="U107" s="17"/>
    </row>
    <row r="108" spans="2:21" s="9" customFormat="1" ht="12">
      <c r="B108" s="22"/>
      <c r="C108" s="22"/>
      <c r="D108" s="22"/>
      <c r="E108" s="22"/>
      <c r="F108" s="22"/>
      <c r="G108" s="23"/>
      <c r="H108" s="28"/>
      <c r="I108" s="28"/>
      <c r="J108" s="28"/>
      <c r="K108" s="28"/>
      <c r="L108" s="28"/>
      <c r="M108" s="28"/>
      <c r="N108" s="28"/>
      <c r="O108" s="21"/>
      <c r="P108" s="26"/>
      <c r="Q108" s="23"/>
      <c r="R108" s="28"/>
      <c r="S108" s="19"/>
      <c r="T108" s="20"/>
      <c r="U108" s="17"/>
    </row>
    <row r="109" spans="2:21" s="9" customFormat="1" ht="12">
      <c r="B109" s="15"/>
      <c r="C109" s="15"/>
      <c r="D109" s="15"/>
      <c r="E109" s="15"/>
      <c r="F109" s="15"/>
      <c r="G109" s="16"/>
      <c r="H109" s="17"/>
      <c r="I109" s="17"/>
      <c r="J109" s="17"/>
      <c r="K109" s="17"/>
      <c r="L109" s="17"/>
      <c r="M109" s="17"/>
      <c r="N109" s="17"/>
      <c r="O109" s="18"/>
      <c r="P109" s="17"/>
      <c r="Q109" s="17"/>
      <c r="R109" s="17"/>
      <c r="S109" s="19"/>
      <c r="T109" s="20"/>
      <c r="U109" s="17"/>
    </row>
    <row r="110" spans="2:21" s="9" customFormat="1" ht="12">
      <c r="B110" s="15"/>
      <c r="C110" s="15"/>
      <c r="D110" s="15"/>
      <c r="E110" s="15"/>
      <c r="F110" s="15"/>
      <c r="G110" s="16"/>
      <c r="H110" s="17"/>
      <c r="I110" s="17"/>
      <c r="J110" s="17"/>
      <c r="K110" s="17"/>
      <c r="L110" s="17"/>
      <c r="M110" s="17"/>
      <c r="N110" s="17"/>
      <c r="O110" s="18"/>
      <c r="P110" s="17"/>
      <c r="Q110" s="17"/>
      <c r="R110" s="17"/>
      <c r="S110" s="19"/>
      <c r="T110" s="20"/>
      <c r="U110" s="17"/>
    </row>
    <row r="111" spans="2:21" s="9" customFormat="1" ht="12">
      <c r="B111" s="15"/>
      <c r="C111" s="15"/>
      <c r="D111" s="15"/>
      <c r="E111" s="15"/>
      <c r="F111" s="15"/>
      <c r="G111" s="16"/>
      <c r="H111" s="17"/>
      <c r="I111" s="17"/>
      <c r="J111" s="17"/>
      <c r="K111" s="17"/>
      <c r="L111" s="17"/>
      <c r="M111" s="17"/>
      <c r="N111" s="17"/>
      <c r="O111" s="18"/>
      <c r="P111" s="17"/>
      <c r="Q111" s="17"/>
      <c r="R111" s="17"/>
      <c r="S111" s="19"/>
      <c r="T111" s="20"/>
      <c r="U111" s="17"/>
    </row>
    <row r="112" spans="2:21" s="9" customFormat="1" ht="12">
      <c r="B112" s="15"/>
      <c r="C112" s="15"/>
      <c r="D112" s="15"/>
      <c r="E112" s="15"/>
      <c r="F112" s="15"/>
      <c r="G112" s="16"/>
      <c r="H112" s="17"/>
      <c r="I112" s="17"/>
      <c r="J112" s="17"/>
      <c r="K112" s="17"/>
      <c r="L112" s="17"/>
      <c r="M112" s="17"/>
      <c r="N112" s="17"/>
      <c r="O112" s="18"/>
      <c r="P112" s="17"/>
      <c r="Q112" s="17"/>
      <c r="R112" s="17"/>
      <c r="S112" s="19"/>
      <c r="T112" s="20"/>
      <c r="U112" s="17"/>
    </row>
    <row r="113" spans="2:21" s="9" customFormat="1" ht="12">
      <c r="B113" s="15"/>
      <c r="C113" s="15"/>
      <c r="D113" s="15"/>
      <c r="E113" s="15"/>
      <c r="F113" s="15"/>
      <c r="G113" s="16"/>
      <c r="H113" s="17"/>
      <c r="I113" s="17"/>
      <c r="J113" s="17"/>
      <c r="K113" s="17"/>
      <c r="L113" s="17"/>
      <c r="M113" s="17"/>
      <c r="N113" s="17"/>
      <c r="O113" s="18"/>
      <c r="P113" s="17"/>
      <c r="Q113" s="17"/>
      <c r="R113" s="17"/>
      <c r="S113" s="19"/>
      <c r="T113" s="20"/>
      <c r="U113" s="17"/>
    </row>
    <row r="114" spans="2:21" s="9" customFormat="1" ht="12">
      <c r="B114" s="15"/>
      <c r="C114" s="15"/>
      <c r="D114" s="15"/>
      <c r="E114" s="15"/>
      <c r="F114" s="15"/>
      <c r="G114" s="16"/>
      <c r="H114" s="17"/>
      <c r="I114" s="17"/>
      <c r="J114" s="17"/>
      <c r="K114" s="17"/>
      <c r="L114" s="17"/>
      <c r="M114" s="17"/>
      <c r="N114" s="17"/>
      <c r="O114" s="18"/>
      <c r="P114" s="17"/>
      <c r="Q114" s="17"/>
      <c r="R114" s="17"/>
      <c r="S114" s="19"/>
      <c r="T114" s="20"/>
      <c r="U114" s="17"/>
    </row>
    <row r="115" spans="2:21" s="9" customFormat="1" ht="12">
      <c r="B115" s="15"/>
      <c r="C115" s="15"/>
      <c r="D115" s="15"/>
      <c r="E115" s="15"/>
      <c r="F115" s="15"/>
      <c r="G115" s="16"/>
      <c r="H115" s="17"/>
      <c r="I115" s="17"/>
      <c r="J115" s="17"/>
      <c r="K115" s="17"/>
      <c r="L115" s="17"/>
      <c r="M115" s="17"/>
      <c r="N115" s="17"/>
      <c r="O115" s="18"/>
      <c r="P115" s="17"/>
      <c r="Q115" s="17"/>
      <c r="R115" s="17"/>
      <c r="S115" s="19"/>
      <c r="T115" s="20"/>
      <c r="U115" s="17"/>
    </row>
    <row r="116" spans="2:21" s="9" customFormat="1" ht="12">
      <c r="B116" s="15"/>
      <c r="C116" s="15"/>
      <c r="D116" s="15"/>
      <c r="E116" s="15"/>
      <c r="F116" s="15"/>
      <c r="G116" s="16"/>
      <c r="H116" s="17"/>
      <c r="I116" s="17"/>
      <c r="J116" s="17"/>
      <c r="K116" s="17"/>
      <c r="L116" s="17"/>
      <c r="M116" s="17"/>
      <c r="N116" s="17"/>
      <c r="O116" s="18"/>
      <c r="P116" s="17"/>
      <c r="Q116" s="17"/>
      <c r="R116" s="17"/>
      <c r="S116" s="19"/>
      <c r="T116" s="20"/>
      <c r="U116" s="17"/>
    </row>
    <row r="117" spans="2:21" s="9" customFormat="1" ht="12">
      <c r="B117" s="15"/>
      <c r="C117" s="15"/>
      <c r="D117" s="15"/>
      <c r="E117" s="15"/>
      <c r="F117" s="15"/>
      <c r="G117" s="16"/>
      <c r="H117" s="17"/>
      <c r="I117" s="17"/>
      <c r="J117" s="17"/>
      <c r="K117" s="17"/>
      <c r="L117" s="17"/>
      <c r="M117" s="17"/>
      <c r="N117" s="17"/>
      <c r="O117" s="18"/>
      <c r="P117" s="17"/>
      <c r="Q117" s="17"/>
      <c r="R117" s="17"/>
      <c r="S117" s="19"/>
      <c r="T117" s="20"/>
      <c r="U117" s="17"/>
    </row>
  </sheetData>
  <mergeCells count="18">
    <mergeCell ref="A2:S2"/>
    <mergeCell ref="B9:H9"/>
    <mergeCell ref="G11:H11"/>
    <mergeCell ref="C12:E12"/>
    <mergeCell ref="C13:E13"/>
    <mergeCell ref="C11:E11"/>
    <mergeCell ref="G12:H12"/>
    <mergeCell ref="G13:H13"/>
    <mergeCell ref="C18:E18"/>
    <mergeCell ref="C17:E17"/>
    <mergeCell ref="C16:E16"/>
    <mergeCell ref="C15:E15"/>
    <mergeCell ref="C14:E14"/>
    <mergeCell ref="G18:H18"/>
    <mergeCell ref="G14:H14"/>
    <mergeCell ref="G15:H15"/>
    <mergeCell ref="G16:H16"/>
    <mergeCell ref="G17:H17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  <colBreaks count="1" manualBreakCount="1">
    <brk id="1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9"/>
  <sheetViews>
    <sheetView workbookViewId="0">
      <selection activeCell="K6" sqref="K6"/>
    </sheetView>
  </sheetViews>
  <sheetFormatPr defaultRowHeight="23.25"/>
  <cols>
    <col min="1" max="1" width="1.5703125" style="31" customWidth="1"/>
    <col min="2" max="2" width="17.42578125" style="31" customWidth="1"/>
    <col min="3" max="3" width="5.5703125" style="31" customWidth="1"/>
    <col min="4" max="4" width="2.7109375" style="31" customWidth="1"/>
    <col min="5" max="5" width="7" style="31" customWidth="1"/>
    <col min="6" max="6" width="3.140625" style="31" customWidth="1"/>
    <col min="7" max="7" width="1.5703125" customWidth="1"/>
  </cols>
  <sheetData>
    <row r="1" spans="1:6" ht="26.25">
      <c r="A1" s="30"/>
      <c r="B1" s="30"/>
      <c r="C1" s="30"/>
      <c r="D1" s="30"/>
      <c r="E1" s="30"/>
      <c r="F1" s="30"/>
    </row>
    <row r="2" spans="1:6">
      <c r="B2" s="455" t="s">
        <v>25</v>
      </c>
      <c r="C2" s="456"/>
      <c r="D2" s="456"/>
      <c r="E2" s="456"/>
      <c r="F2" s="457"/>
    </row>
    <row r="3" spans="1:6" ht="26.25">
      <c r="B3" s="458" t="s">
        <v>97</v>
      </c>
      <c r="C3" s="459"/>
      <c r="D3" s="459"/>
      <c r="E3" s="459"/>
      <c r="F3" s="460"/>
    </row>
    <row r="4" spans="1:6" ht="26.25">
      <c r="B4" s="113" t="s">
        <v>15</v>
      </c>
      <c r="C4" s="452">
        <v>42551</v>
      </c>
      <c r="D4" s="453"/>
      <c r="E4" s="453"/>
      <c r="F4" s="454"/>
    </row>
    <row r="5" spans="1:6">
      <c r="B5" s="55" t="s">
        <v>26</v>
      </c>
      <c r="C5" s="70">
        <v>1</v>
      </c>
      <c r="D5" s="64" t="s">
        <v>23</v>
      </c>
      <c r="E5" s="71">
        <f>C5/1000</f>
        <v>1E-3</v>
      </c>
      <c r="F5" s="54" t="s">
        <v>16</v>
      </c>
    </row>
    <row r="6" spans="1:6">
      <c r="B6" s="55" t="s">
        <v>27</v>
      </c>
      <c r="C6" s="70">
        <v>1</v>
      </c>
      <c r="D6" s="64" t="s">
        <v>23</v>
      </c>
      <c r="E6" s="71">
        <f t="shared" ref="E6:E9" si="0">C6/1000</f>
        <v>1E-3</v>
      </c>
      <c r="F6" s="54" t="s">
        <v>16</v>
      </c>
    </row>
    <row r="7" spans="1:6">
      <c r="B7" s="55" t="s">
        <v>28</v>
      </c>
      <c r="C7" s="70">
        <v>1</v>
      </c>
      <c r="D7" s="64" t="s">
        <v>23</v>
      </c>
      <c r="E7" s="71">
        <f t="shared" si="0"/>
        <v>1E-3</v>
      </c>
      <c r="F7" s="54" t="s">
        <v>16</v>
      </c>
    </row>
    <row r="8" spans="1:6">
      <c r="B8" s="55" t="s">
        <v>29</v>
      </c>
      <c r="C8" s="70">
        <v>1</v>
      </c>
      <c r="D8" s="64" t="s">
        <v>23</v>
      </c>
      <c r="E8" s="71">
        <f t="shared" si="0"/>
        <v>1E-3</v>
      </c>
      <c r="F8" s="54" t="s">
        <v>16</v>
      </c>
    </row>
    <row r="9" spans="1:6">
      <c r="B9" s="55" t="s">
        <v>30</v>
      </c>
      <c r="C9" s="70">
        <v>1</v>
      </c>
      <c r="D9" s="64" t="s">
        <v>23</v>
      </c>
      <c r="E9" s="71">
        <f t="shared" si="0"/>
        <v>1E-3</v>
      </c>
      <c r="F9" s="54" t="s">
        <v>16</v>
      </c>
    </row>
  </sheetData>
  <mergeCells count="3">
    <mergeCell ref="C4:F4"/>
    <mergeCell ref="B2:F2"/>
    <mergeCell ref="B3:F3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 Record</vt:lpstr>
      <vt:lpstr>Certificate</vt:lpstr>
      <vt:lpstr>Report</vt:lpstr>
      <vt:lpstr>Result</vt:lpstr>
      <vt:lpstr>Uncertainty Budget(CMC)</vt:lpstr>
      <vt:lpstr>Cert of STD</vt:lpstr>
      <vt:lpstr>Certificate!Print_Area</vt:lpstr>
      <vt:lpstr>'Data Record'!Print_Area</vt:lpstr>
      <vt:lpstr>Report!Print_Area</vt:lpstr>
      <vt:lpstr>Result!Print_Area</vt:lpstr>
      <vt:lpstr>'Uncertainty Budget(CMC)'!Print_Area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SP07-NEOLUTION</dc:creator>
  <cp:lastModifiedBy>ภควดี ลักษมีวงศ์</cp:lastModifiedBy>
  <cp:lastPrinted>2016-08-17T09:47:54Z</cp:lastPrinted>
  <dcterms:created xsi:type="dcterms:W3CDTF">2013-05-08T08:11:00Z</dcterms:created>
  <dcterms:modified xsi:type="dcterms:W3CDTF">2017-06-06T18:18:10Z</dcterms:modified>
</cp:coreProperties>
</file>