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0" yWindow="435" windowWidth="38400" windowHeight="21060" tabRatio="500" activeTab="4"/>
  </bookViews>
  <sheets>
    <sheet name="Data" sheetId="11" r:id="rId1"/>
    <sheet name="Certificate" sheetId="14" r:id="rId2"/>
    <sheet name="Report" sheetId="9" r:id="rId3"/>
    <sheet name="Result" sheetId="10" r:id="rId4"/>
    <sheet name="Uncertainty Budget 0 to 25mm" sheetId="1" r:id="rId5"/>
    <sheet name="Uncert of STD" sheetId="3" r:id="rId6"/>
    <sheet name="Configuration" sheetId="15" r:id="rId7"/>
    <sheet name="$$^^$$" sheetId="1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librationDate">Data!$Z$2</definedName>
    <definedName name="CAP">[3]E4402B!#REF!</definedName>
    <definedName name="CCC">[6]Eq.List!$A$2:$H$210</definedName>
    <definedName name="CertificateNo">Data!$R$1</definedName>
    <definedName name="Cet.no">[7]Cert.!#REF!</definedName>
    <definedName name="CustomerName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DueDate">Data!$U$11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quipmentID">Data!$L$7</definedName>
    <definedName name="EquipmentName">Data!$G$6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Humidity">Data!$V$3</definedName>
    <definedName name="InspectionDescription">Data!$P$9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nufacturer">Data!$S$6</definedName>
    <definedName name="Mass">#REF!</definedName>
    <definedName name="Mclass">#REF!</definedName>
    <definedName name="MFG">[3]E4402B!#REF!</definedName>
    <definedName name="Model">Data!$Z$6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Data!$A$1:$AF$56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RangeEnd">Data!$H$8</definedName>
    <definedName name="RangeStart">Data!$E$8</definedName>
    <definedName name="ReceiveDate">Data!$Q$2</definedName>
    <definedName name="Resolution">Data!$P$8</definedName>
    <definedName name="SerialNo">Data!$E$7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Temperature">Data!$S$3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7" i="1"/>
  <c r="Y43" i="11" l="1"/>
  <c r="U43" i="11"/>
  <c r="C8" i="1"/>
  <c r="D8" i="1"/>
  <c r="K8" i="1"/>
  <c r="M8" i="1"/>
  <c r="M9" i="1"/>
  <c r="M10" i="1"/>
  <c r="M11" i="1"/>
  <c r="M12" i="1"/>
  <c r="M13" i="1"/>
  <c r="M14" i="1"/>
  <c r="M15" i="1"/>
  <c r="M16" i="1"/>
  <c r="M17" i="1"/>
  <c r="M7" i="1"/>
  <c r="A19" i="16"/>
  <c r="K25" i="16"/>
  <c r="E20" i="16"/>
  <c r="J5" i="16"/>
  <c r="M5" i="16"/>
  <c r="J4" i="16"/>
  <c r="M4" i="16"/>
  <c r="M19" i="16"/>
  <c r="J22" i="16"/>
  <c r="M22" i="16"/>
  <c r="M24" i="16"/>
  <c r="E21" i="16"/>
  <c r="J23" i="16"/>
  <c r="J24" i="16"/>
  <c r="J25" i="16"/>
  <c r="I4" i="16"/>
  <c r="I5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M14" i="16"/>
  <c r="M15" i="16"/>
  <c r="M16" i="16"/>
  <c r="M17" i="16"/>
  <c r="M18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2" i="16"/>
  <c r="I18" i="16"/>
  <c r="I17" i="16"/>
  <c r="I16" i="16"/>
  <c r="I15" i="16"/>
  <c r="I14" i="16"/>
  <c r="I13" i="16"/>
  <c r="P12" i="16"/>
  <c r="I12" i="16"/>
  <c r="P11" i="16"/>
  <c r="I11" i="16"/>
  <c r="P10" i="16"/>
  <c r="I10" i="16"/>
  <c r="P9" i="16"/>
  <c r="I9" i="16"/>
  <c r="I8" i="16"/>
  <c r="I7" i="16"/>
  <c r="I6" i="16"/>
  <c r="J3" i="16"/>
  <c r="F3" i="16"/>
  <c r="R42" i="11"/>
  <c r="R43" i="11"/>
  <c r="R47" i="11"/>
  <c r="R45" i="11"/>
  <c r="U42" i="11"/>
  <c r="C7" i="1"/>
  <c r="D7" i="1"/>
  <c r="F7" i="1"/>
  <c r="G7" i="1"/>
  <c r="H7" i="1"/>
  <c r="I7" i="1"/>
  <c r="J7" i="1"/>
  <c r="K7" i="1"/>
  <c r="L7" i="1"/>
  <c r="O7" i="1"/>
  <c r="P12" i="10" s="1"/>
  <c r="AA20" i="14"/>
  <c r="G7" i="10"/>
  <c r="H7" i="10"/>
  <c r="I7" i="10"/>
  <c r="Q7" i="10"/>
  <c r="D5" i="3"/>
  <c r="U44" i="11"/>
  <c r="U45" i="11"/>
  <c r="U46" i="11"/>
  <c r="U47" i="11"/>
  <c r="U48" i="11"/>
  <c r="U49" i="11"/>
  <c r="U50" i="11"/>
  <c r="U51" i="11"/>
  <c r="U52" i="11"/>
  <c r="R44" i="11"/>
  <c r="Y44" i="11"/>
  <c r="Y45" i="11"/>
  <c r="R46" i="11"/>
  <c r="Y46" i="11"/>
  <c r="R48" i="11"/>
  <c r="Y48" i="11"/>
  <c r="R49" i="11"/>
  <c r="Y49" i="11"/>
  <c r="R50" i="11"/>
  <c r="Y50" i="11"/>
  <c r="R51" i="11"/>
  <c r="R52" i="11"/>
  <c r="Y52" i="11"/>
  <c r="Y47" i="11"/>
  <c r="Y51" i="11"/>
  <c r="E13" i="10"/>
  <c r="E14" i="10"/>
  <c r="E15" i="10"/>
  <c r="E16" i="10"/>
  <c r="E17" i="10"/>
  <c r="E18" i="10"/>
  <c r="E19" i="10"/>
  <c r="E20" i="10"/>
  <c r="E21" i="10"/>
  <c r="E22" i="10"/>
  <c r="E8" i="1"/>
  <c r="H37" i="14"/>
  <c r="AA21" i="14"/>
  <c r="AA19" i="14"/>
  <c r="J16" i="14"/>
  <c r="J15" i="14"/>
  <c r="J14" i="14"/>
  <c r="J13" i="14"/>
  <c r="J12" i="14"/>
  <c r="J5" i="14"/>
  <c r="V37" i="14"/>
  <c r="H5" i="9"/>
  <c r="H35" i="14"/>
  <c r="I15" i="10"/>
  <c r="I19" i="10"/>
  <c r="E12" i="10"/>
  <c r="P23" i="11"/>
  <c r="Y42" i="11"/>
  <c r="M12" i="10"/>
  <c r="M22" i="10"/>
  <c r="I22" i="10"/>
  <c r="M20" i="10"/>
  <c r="I20" i="10"/>
  <c r="M18" i="10"/>
  <c r="I18" i="10"/>
  <c r="M16" i="10"/>
  <c r="I16" i="10"/>
  <c r="M14" i="10"/>
  <c r="I14" i="10"/>
  <c r="M15" i="10"/>
  <c r="M21" i="10"/>
  <c r="I21" i="10"/>
  <c r="M17" i="10"/>
  <c r="I17" i="10"/>
  <c r="M13" i="10"/>
  <c r="I13" i="10"/>
  <c r="M19" i="10"/>
  <c r="F5" i="10"/>
  <c r="I27" i="10"/>
  <c r="I26" i="10"/>
  <c r="S34" i="11"/>
  <c r="S33" i="11"/>
  <c r="S32" i="11"/>
  <c r="P26" i="11"/>
  <c r="P25" i="11"/>
  <c r="P24" i="11"/>
  <c r="S24" i="11"/>
  <c r="T24" i="11"/>
  <c r="P26" i="10"/>
  <c r="Z33" i="11"/>
  <c r="I8" i="1"/>
  <c r="I9" i="1"/>
  <c r="I10" i="1"/>
  <c r="I11" i="1"/>
  <c r="I12" i="1"/>
  <c r="I13" i="1"/>
  <c r="I14" i="1"/>
  <c r="I15" i="1"/>
  <c r="I16" i="1"/>
  <c r="I17" i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E17" i="1"/>
  <c r="V13" i="3"/>
  <c r="P13" i="3"/>
  <c r="J13" i="3"/>
  <c r="D13" i="3"/>
  <c r="E16" i="1"/>
  <c r="AB12" i="3"/>
  <c r="V12" i="3"/>
  <c r="P12" i="3"/>
  <c r="J12" i="3"/>
  <c r="D12" i="3"/>
  <c r="E15" i="1"/>
  <c r="AB11" i="3"/>
  <c r="V11" i="3"/>
  <c r="P11" i="3"/>
  <c r="J11" i="3"/>
  <c r="D11" i="3"/>
  <c r="E14" i="1"/>
  <c r="AB10" i="3"/>
  <c r="V10" i="3"/>
  <c r="P10" i="3"/>
  <c r="J10" i="3"/>
  <c r="D10" i="3"/>
  <c r="E13" i="1"/>
  <c r="AB9" i="3"/>
  <c r="V9" i="3"/>
  <c r="P9" i="3"/>
  <c r="J9" i="3"/>
  <c r="D9" i="3"/>
  <c r="E12" i="1"/>
  <c r="AB8" i="3"/>
  <c r="V8" i="3"/>
  <c r="P8" i="3"/>
  <c r="J8" i="3"/>
  <c r="D8" i="3"/>
  <c r="E11" i="1"/>
  <c r="AB7" i="3"/>
  <c r="V7" i="3"/>
  <c r="P7" i="3"/>
  <c r="J7" i="3"/>
  <c r="D7" i="3"/>
  <c r="E10" i="1"/>
  <c r="AB6" i="3"/>
  <c r="V6" i="3"/>
  <c r="P6" i="3"/>
  <c r="J6" i="3"/>
  <c r="D6" i="3"/>
  <c r="E9" i="1"/>
  <c r="AB5" i="3"/>
  <c r="V5" i="3"/>
  <c r="P5" i="3"/>
  <c r="J5" i="3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G10" i="1"/>
  <c r="H10" i="1"/>
  <c r="G11" i="1"/>
  <c r="H11" i="1"/>
  <c r="G14" i="1"/>
  <c r="H14" i="1"/>
  <c r="G16" i="1"/>
  <c r="H16" i="1"/>
  <c r="G8" i="1"/>
  <c r="H8" i="1"/>
  <c r="G9" i="1"/>
  <c r="H9" i="1"/>
  <c r="G12" i="1"/>
  <c r="H12" i="1"/>
  <c r="G13" i="1"/>
  <c r="H13" i="1"/>
  <c r="G15" i="1"/>
  <c r="H15" i="1"/>
  <c r="G17" i="1"/>
  <c r="H17" i="1"/>
  <c r="C10" i="1"/>
  <c r="D10" i="1"/>
  <c r="K10" i="1"/>
  <c r="C14" i="1"/>
  <c r="D14" i="1"/>
  <c r="K14" i="1"/>
  <c r="C11" i="1"/>
  <c r="D11" i="1"/>
  <c r="K11" i="1"/>
  <c r="C9" i="1"/>
  <c r="D9" i="1"/>
  <c r="K9" i="1"/>
  <c r="C12" i="1"/>
  <c r="D12" i="1"/>
  <c r="K12" i="1"/>
  <c r="C17" i="1"/>
  <c r="D17" i="1"/>
  <c r="K17" i="1"/>
  <c r="C15" i="1"/>
  <c r="D15" i="1"/>
  <c r="K15" i="1"/>
  <c r="C13" i="1"/>
  <c r="D13" i="1"/>
  <c r="K13" i="1"/>
  <c r="C16" i="1"/>
  <c r="D16" i="1"/>
  <c r="K16" i="1"/>
  <c r="L15" i="1"/>
  <c r="L13" i="1"/>
  <c r="L17" i="1"/>
  <c r="O17" i="1"/>
  <c r="P22" i="10" s="1"/>
  <c r="L11" i="1"/>
  <c r="L10" i="1"/>
  <c r="O10" i="1"/>
  <c r="P15" i="10" s="1"/>
  <c r="L16" i="1"/>
  <c r="L12" i="1"/>
  <c r="O12" i="1"/>
  <c r="P17" i="10" s="1"/>
  <c r="L9" i="1"/>
  <c r="L14" i="1"/>
  <c r="O14" i="1"/>
  <c r="P19" i="10" s="1"/>
  <c r="L8" i="1"/>
  <c r="I12" i="10"/>
  <c r="O16" i="1"/>
  <c r="P21" i="10" s="1"/>
  <c r="O8" i="1"/>
  <c r="P13" i="10" s="1"/>
  <c r="O9" i="1"/>
  <c r="P14" i="10" s="1"/>
  <c r="O13" i="1"/>
  <c r="P18" i="10" s="1"/>
  <c r="O11" i="1"/>
  <c r="P16" i="10" s="1"/>
  <c r="O15" i="1"/>
  <c r="P20" i="10" s="1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comments4.xml><?xml version="1.0" encoding="utf-8"?>
<comments xmlns="http://schemas.openxmlformats.org/spreadsheetml/2006/main">
  <authors>
    <author>Georgia</author>
    <author>Georgia L Harris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Select Type A or B.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sz val="8"/>
            <color indexed="81"/>
            <rFont val="Tahoma"/>
            <family val="2"/>
          </rPr>
          <t>Use if you need to divide the value by 1/2 and the square root of 3.</t>
        </r>
      </text>
    </comment>
  </commentList>
</comments>
</file>

<file path=xl/sharedStrings.xml><?xml version="1.0" encoding="utf-8"?>
<sst xmlns="http://schemas.openxmlformats.org/spreadsheetml/2006/main" count="617" uniqueCount="311">
  <si>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</si>
  <si>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</si>
  <si>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</si>
  <si>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</si>
  <si>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</si>
  <si>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</si>
  <si>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</si>
  <si>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</si>
  <si>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</si>
  <si>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</si>
  <si>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</si>
  <si>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</si>
  <si>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</si>
  <si>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</si>
  <si>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</si>
  <si>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</si>
  <si>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</si>
  <si>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</si>
  <si>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</si>
  <si>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</si>
  <si>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</si>
  <si>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</si>
  <si>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</si>
  <si>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</si>
  <si>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</si>
  <si>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</si>
  <si>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</si>
  <si>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</si>
  <si>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</si>
  <si>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</si>
  <si>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</si>
  <si>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</si>
  <si>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</si>
  <si>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</si>
  <si>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</si>
  <si>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</si>
  <si>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</si>
  <si>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</si>
  <si>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</si>
  <si>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</si>
  <si>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</si>
  <si>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</si>
  <si>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</si>
  <si>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</si>
  <si>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</si>
  <si>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</si>
  <si>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</si>
  <si>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</si>
  <si>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</si>
  <si>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</si>
  <si>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</si>
  <si>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</si>
  <si>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</si>
  <si>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</si>
  <si>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≤</t>
  </si>
  <si>
    <t>µm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</si>
  <si>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</si>
  <si>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</si>
  <si>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</si>
  <si>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</si>
  <si>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</si>
  <si>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</si>
  <si>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Referance Standard :</t>
  </si>
  <si>
    <t xml:space="preserve">1. Flatness Measurement </t>
  </si>
  <si>
    <t>Measuring Positions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</si>
  <si>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</si>
  <si>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</si>
  <si>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</si>
  <si>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</si>
  <si>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>Max</t>
  </si>
  <si>
    <t>(mm)</t>
  </si>
  <si>
    <t xml:space="preserve"> (mm)</t>
  </si>
  <si>
    <t>P = Parallelism of measuring faces</t>
  </si>
  <si>
    <t>l = Wavelength</t>
  </si>
  <si>
    <t>2.2 External Micrometer of length 50-175 mm.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</si>
  <si>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</si>
  <si>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</si>
  <si>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</si>
  <si>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</si>
  <si>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</si>
  <si>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</si>
  <si>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</si>
  <si>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</si>
  <si>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</si>
  <si>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</si>
  <si>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</si>
  <si>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</si>
  <si>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</si>
  <si>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</si>
  <si>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</si>
  <si>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</si>
  <si>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</si>
  <si>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</si>
  <si>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</si>
  <si>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</si>
  <si>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</si>
  <si>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</si>
  <si>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</si>
  <si>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</si>
  <si>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</si>
  <si>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</si>
  <si>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</si>
  <si>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</si>
  <si>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</si>
  <si>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</si>
  <si>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</si>
  <si>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</si>
  <si>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</si>
  <si>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</si>
  <si>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</si>
  <si>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</si>
  <si>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</si>
  <si>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</si>
  <si>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</si>
  <si>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</si>
  <si>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</si>
  <si>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</si>
  <si>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</si>
  <si>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t>X1</t>
  </si>
  <si>
    <t>X2</t>
  </si>
  <si>
    <t>X3</t>
  </si>
  <si>
    <t>X4</t>
  </si>
  <si>
    <r>
      <t xml:space="preserve">   Page :</t>
    </r>
    <r>
      <rPr>
        <sz val="10"/>
        <rFont val="Gulim"/>
        <family val="2"/>
      </rPr>
      <t xml:space="preserve"> 3 of 3</t>
    </r>
  </si>
  <si>
    <t>Normal 
Value</t>
  </si>
  <si>
    <t>UUC 
Reading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</si>
  <si>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</si>
  <si>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</si>
  <si>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</si>
  <si>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</si>
  <si>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</si>
  <si>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</si>
  <si>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</si>
  <si>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</si>
  <si>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</si>
  <si>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</si>
  <si>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Date of Issue </t>
  </si>
  <si>
    <t xml:space="preserve">Calibrated by </t>
  </si>
  <si>
    <t>SP-CPD-04-01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</si>
  <si>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</si>
  <si>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(µm)</t>
  </si>
  <si>
    <t>Parallelism between measuring faces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</si>
  <si>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</si>
  <si>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</si>
  <si>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20 °C ± 1 °C</t>
  </si>
  <si>
    <t>Unit : mm</t>
  </si>
  <si>
    <t>Spindle</t>
  </si>
  <si>
    <t>Size of Gauge</t>
  </si>
  <si>
    <t>Block</t>
  </si>
  <si>
    <t>Number of</t>
  </si>
  <si>
    <t>Fringes (n)</t>
  </si>
  <si>
    <t>Paralllelism</t>
  </si>
  <si>
    <t>Anvil</t>
  </si>
  <si>
    <t xml:space="preserve">Paralllelism </t>
  </si>
  <si>
    <t xml:space="preserve">Size of Optical </t>
  </si>
  <si>
    <t>ID No:</t>
  </si>
  <si>
    <t xml:space="preserve"> UUC Reading</t>
  </si>
  <si>
    <t>Uncertainty 
(± ) µm</t>
  </si>
  <si>
    <t>Measurement Result Units:</t>
  </si>
  <si>
    <t>Measurement Range and Parameter:</t>
  </si>
  <si>
    <t>Uncertainty Component Description</t>
  </si>
  <si>
    <t>Symbol</t>
  </si>
  <si>
    <t>Estimated
Uncertainty</t>
  </si>
  <si>
    <t>Units</t>
  </si>
  <si>
    <t>d.f.</t>
  </si>
  <si>
    <t>Type (A, B)</t>
  </si>
  <si>
    <t>Probability Distribution</t>
  </si>
  <si>
    <t>Divisor</t>
  </si>
  <si>
    <t>Relative Contribution (%)</t>
  </si>
  <si>
    <t>Explanation/Source/Notes</t>
  </si>
  <si>
    <t>For effective degrees of freedom calculation.</t>
  </si>
  <si>
    <t>Acceptable 
Units</t>
  </si>
  <si>
    <t>Description</t>
  </si>
  <si>
    <t>Type</t>
  </si>
  <si>
    <t>Probability</t>
  </si>
  <si>
    <t>A</t>
  </si>
  <si>
    <t>Normal, 1s</t>
  </si>
  <si>
    <t>blank</t>
  </si>
  <si>
    <t>B</t>
  </si>
  <si>
    <t>Normal, 2s</t>
  </si>
  <si>
    <t>µg</t>
  </si>
  <si>
    <t>microgram</t>
  </si>
  <si>
    <t>Normal, 3s</t>
  </si>
  <si>
    <t>mg</t>
  </si>
  <si>
    <t>milligram</t>
  </si>
  <si>
    <t>Norm@99%</t>
  </si>
  <si>
    <t>g</t>
  </si>
  <si>
    <t>gram</t>
  </si>
  <si>
    <t>Rectangular</t>
  </si>
  <si>
    <t>kg</t>
  </si>
  <si>
    <t>kilogram</t>
  </si>
  <si>
    <t>Triangular</t>
  </si>
  <si>
    <t>µlb</t>
  </si>
  <si>
    <t>micropound</t>
  </si>
  <si>
    <t>U-Shaped</t>
  </si>
  <si>
    <t>lb</t>
  </si>
  <si>
    <t>pound</t>
  </si>
  <si>
    <t>Rect 1/2</t>
  </si>
  <si>
    <t>in</t>
  </si>
  <si>
    <t>inch</t>
  </si>
  <si>
    <r>
      <t>in</t>
    </r>
    <r>
      <rPr>
        <sz val="10"/>
        <rFont val="Verdana"/>
        <family val="2"/>
      </rPr>
      <t>²</t>
    </r>
  </si>
  <si>
    <t>square inch</t>
  </si>
  <si>
    <r>
      <t>in</t>
    </r>
    <r>
      <rPr>
        <sz val="10"/>
        <rFont val="Verdana"/>
        <family val="2"/>
      </rPr>
      <t>³</t>
    </r>
  </si>
  <si>
    <t>cubic inch</t>
  </si>
  <si>
    <t>pt</t>
  </si>
  <si>
    <t>pint</t>
  </si>
  <si>
    <t>qt</t>
  </si>
  <si>
    <t>quart</t>
  </si>
  <si>
    <t>gal</t>
  </si>
  <si>
    <t>gallon</t>
  </si>
  <si>
    <t>mL</t>
  </si>
  <si>
    <t>milliliter</t>
  </si>
  <si>
    <t>L</t>
  </si>
  <si>
    <t>liter</t>
  </si>
  <si>
    <t>Min Degrees of Freedom</t>
  </si>
  <si>
    <t>ν</t>
  </si>
  <si>
    <t>nm</t>
  </si>
  <si>
    <t>nanometer</t>
  </si>
  <si>
    <t>Effective Degrees of Freedom</t>
  </si>
  <si>
    <r>
      <t>ν</t>
    </r>
    <r>
      <rPr>
        <i/>
        <vertAlign val="subscript"/>
        <sz val="10"/>
        <color theme="1"/>
        <rFont val="Times New Roman"/>
        <family val="1"/>
      </rPr>
      <t>eff</t>
    </r>
  </si>
  <si>
    <t>millimeter</t>
  </si>
  <si>
    <r>
      <t xml:space="preserve">Combined Uncertainty, </t>
    </r>
    <r>
      <rPr>
        <i/>
        <sz val="10"/>
        <color theme="1"/>
        <rFont val="Times New Roman"/>
        <family val="1"/>
      </rPr>
      <t>u</t>
    </r>
    <r>
      <rPr>
        <i/>
        <vertAlign val="subscript"/>
        <sz val="10"/>
        <color theme="1"/>
        <rFont val="Times New Roman"/>
        <family val="1"/>
      </rPr>
      <t>c</t>
    </r>
  </si>
  <si>
    <t>cm</t>
  </si>
  <si>
    <t>centimeter</t>
  </si>
  <si>
    <r>
      <t xml:space="preserve">Coverage factor, </t>
    </r>
    <r>
      <rPr>
        <i/>
        <sz val="10"/>
        <color theme="1"/>
        <rFont val="Times New Roman"/>
        <family val="1"/>
      </rPr>
      <t>k, uses effective degrees of  freedom</t>
    </r>
  </si>
  <si>
    <t>cm²</t>
  </si>
  <si>
    <t>square centimeter</t>
  </si>
  <si>
    <r>
      <t xml:space="preserve">Expanded Uncertainty, </t>
    </r>
    <r>
      <rPr>
        <i/>
        <sz val="10"/>
        <color theme="1"/>
        <rFont val="Times New Roman"/>
        <family val="1"/>
      </rPr>
      <t>U</t>
    </r>
  </si>
  <si>
    <t>cm³</t>
  </si>
  <si>
    <t>cubic centimeter</t>
  </si>
  <si>
    <t>Expanded Uncertainty, U, Rounded to 2 Significant Digits</t>
  </si>
  <si>
    <t>m</t>
  </si>
  <si>
    <t>meter</t>
  </si>
  <si>
    <t>m²</t>
  </si>
  <si>
    <t>square meter</t>
  </si>
  <si>
    <t>m³</t>
  </si>
  <si>
    <t>cubic meter</t>
  </si>
  <si>
    <t>°F</t>
  </si>
  <si>
    <t>degrees Fahrenheit</t>
  </si>
  <si>
    <t>°C</t>
  </si>
  <si>
    <t>degrees Celcius</t>
  </si>
  <si>
    <t>K</t>
  </si>
  <si>
    <t>Kelvin</t>
  </si>
  <si>
    <t>fl dr</t>
  </si>
  <si>
    <t>fluid drams</t>
  </si>
  <si>
    <t>fl oz</t>
  </si>
  <si>
    <t>Fluid ounce(s)</t>
  </si>
  <si>
    <t>ft</t>
  </si>
  <si>
    <t>foot</t>
  </si>
  <si>
    <t>Pa</t>
  </si>
  <si>
    <t>Pascal</t>
  </si>
  <si>
    <t>kPa</t>
  </si>
  <si>
    <t>Kilopascal</t>
  </si>
  <si>
    <t>s</t>
  </si>
  <si>
    <t>second</t>
  </si>
  <si>
    <t>min</t>
  </si>
  <si>
    <t>minute</t>
  </si>
  <si>
    <t>h</t>
  </si>
  <si>
    <t>hour</t>
  </si>
  <si>
    <t>Ampere</t>
  </si>
  <si>
    <t>C</t>
  </si>
  <si>
    <t>coulomb</t>
  </si>
  <si>
    <t>V</t>
  </si>
  <si>
    <t>volt</t>
  </si>
  <si>
    <t>J</t>
  </si>
  <si>
    <t>joule</t>
  </si>
  <si>
    <t>W</t>
  </si>
  <si>
    <t>watt</t>
  </si>
  <si>
    <t>Hz</t>
  </si>
  <si>
    <t>hertz</t>
  </si>
  <si>
    <t>H</t>
  </si>
  <si>
    <t>henry</t>
  </si>
  <si>
    <t>F</t>
  </si>
  <si>
    <t>farad</t>
  </si>
  <si>
    <t>Ω</t>
  </si>
  <si>
    <t>ohm</t>
  </si>
  <si>
    <t>S</t>
  </si>
  <si>
    <t>siemens</t>
  </si>
  <si>
    <t>Wb</t>
  </si>
  <si>
    <t>weber</t>
  </si>
  <si>
    <t>T</t>
  </si>
  <si>
    <t>tesla</t>
  </si>
  <si>
    <t>A/m</t>
  </si>
  <si>
    <t>Ampere per meter (magnetic field strength)</t>
  </si>
  <si>
    <t>cd</t>
  </si>
  <si>
    <t>candela</t>
  </si>
  <si>
    <t>lm</t>
  </si>
  <si>
    <t>lumen</t>
  </si>
  <si>
    <t>lx</t>
  </si>
  <si>
    <t>lux</t>
  </si>
  <si>
    <t>cd/m²</t>
  </si>
  <si>
    <t>candela per square meter</t>
  </si>
  <si>
    <t>rad</t>
  </si>
  <si>
    <t>radian</t>
  </si>
  <si>
    <t>kg/m³</t>
  </si>
  <si>
    <t>kilogram per cubic meter</t>
  </si>
  <si>
    <t>g/cm³</t>
  </si>
  <si>
    <t>grams per cubic centimeter</t>
  </si>
  <si>
    <t>kg/L</t>
  </si>
  <si>
    <t>kilograms per liter</t>
  </si>
  <si>
    <t>m/s</t>
  </si>
  <si>
    <t>meters per second</t>
  </si>
  <si>
    <t>km/h</t>
  </si>
  <si>
    <t>kilometers per hour</t>
  </si>
  <si>
    <t>m/s²</t>
  </si>
  <si>
    <t>meter per second squared</t>
  </si>
  <si>
    <r>
      <t>m</t>
    </r>
    <r>
      <rPr>
        <sz val="10"/>
        <rFont val="Verdana"/>
        <family val="2"/>
      </rPr>
      <t>²</t>
    </r>
    <r>
      <rPr>
        <sz val="10"/>
        <rFont val="Verdana"/>
        <family val="2"/>
      </rPr>
      <t>/s</t>
    </r>
  </si>
  <si>
    <t>meter squared per second</t>
  </si>
  <si>
    <t>Lists of Constants</t>
  </si>
  <si>
    <t>micrometer</t>
  </si>
  <si>
    <t xml:space="preserve">&lt;?xml version="1.0" encoding="UTF-8"?&gt;
&lt;sheets&gt;
  &lt;sheet name="Data"&gt;
    &lt;visible&gt;true&lt;/visible&gt;
    &lt;writeable-ranges&gt;
      &lt;writeable-range&gt;Q2:T2&lt;/writeable-range&gt;
      &lt;writeable-range&gt;Z2:AC2&lt;/writeable-range&gt;
      &lt;writeable-range&gt;S3:T3&lt;/writeable-range&gt;
      &lt;writeable-range&gt;V3:W3&lt;/writeable-range&gt;
      &lt;writeable-range&gt;P8:Q8&lt;/writeable-range&gt;
      &lt;writeable-range&gt;H11:P11&lt;/writeable-range&gt;
      &lt;writeable-range&gt;U11:AD11&lt;/writeable-range&gt;
      &lt;writeable-range&gt;H23:M26&lt;/writeable-range&gt;
      &lt;writeable-range&gt;F42:Q52&lt;/writeable-range&gt;
      &lt;writeable-range&gt;H32:R34&lt;/writeable-range&gt;
      &lt;writeable-range&gt;G55&lt;/writeable-range&gt;
    &lt;/writeable-ranges&gt;
  &lt;/sheet&gt;
  &lt;sheet name="Certificate"&gt;
    &lt;visible&gt;true&lt;/visible&gt;
  &lt;/sheet&gt;
  &lt;sheet name="Report"&gt;
    &lt;visible&gt;true&lt;/visible&gt;
  &lt;/sheet&gt;
  &lt;sheet name="Result"&gt;
    &lt;visible&gt;true&lt;/visible&gt;
  &lt;/sheet&gt;
  &lt;sheet name="Uncertainty Budget 0 to 25mm"&gt;
    &lt;visible&gt;false&lt;/visible&gt;
  &lt;/sheet&gt;
  &lt;sheet name="Uncert of STD"&gt;
    &lt;visible&gt;false&lt;/visible&gt;
  &lt;/sheet&gt;
  &lt;sheet name="Configuration"&gt;
    &lt;visible&gt;false&lt;/visible&gt;
  &lt;/sheet&gt;
  &lt;sheet name="$$^^$$"&gt;
    &lt;visible&gt;true&lt;/visible&gt;
  &lt;/sheet&gt;
&lt;/sheets&gt;
</t>
  </si>
  <si>
    <t>Temp &amp; Humidity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</si>
</sst>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0.0\ &quot;μm&quot;"/>
    <numFmt numFmtId="178" formatCode="B1d\-mmm\-yy"/>
    <numFmt numFmtId="179" formatCode="[$-409]d\-mmm\-yy;@"/>
    <numFmt numFmtId="180" formatCode="[$-409]dd\-mmm\-yy;@"/>
    <numFmt numFmtId="181" formatCode="_-[$€]* #,##0.00_-;\-[$€]* #,##0.00_-;_-[$€]* &quot;-&quot;??_-;_-@_-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88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9"/>
      <color theme="1"/>
      <name val="Gulim"/>
      <family val="2"/>
    </font>
    <font>
      <sz val="9"/>
      <color rgb="FF0000CC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4"/>
      <color rgb="FF0070C0"/>
      <name val="Cordia New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i/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i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2"/>
      <color theme="4"/>
      <name val="Calibri (Body)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alibri"/>
      <family val="3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</borders>
  <cellStyleXfs count="61">
    <xf numFmtId="0" fontId="0" fillId="0" borderId="0"/>
    <xf numFmtId="0" fontId="3" fillId="0" borderId="0"/>
    <xf numFmtId="0" fontId="3" fillId="0" borderId="0"/>
    <xf numFmtId="165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65" fillId="0" borderId="15" applyNumberFormat="0" applyAlignment="0" applyProtection="0">
      <alignment horizontal="left" vertical="center"/>
    </xf>
    <xf numFmtId="0" fontId="65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</cellStyleXfs>
  <cellXfs count="69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7" fontId="7" fillId="8" borderId="1" xfId="0" applyNumberFormat="1" applyFont="1" applyFill="1" applyBorder="1" applyAlignment="1">
      <alignment horizontal="center" vertical="center"/>
    </xf>
    <xf numFmtId="169" fontId="11" fillId="8" borderId="1" xfId="0" applyNumberFormat="1" applyFont="1" applyFill="1" applyBorder="1" applyAlignment="1">
      <alignment horizontal="center" vertical="center"/>
    </xf>
    <xf numFmtId="170" fontId="7" fillId="8" borderId="1" xfId="0" applyNumberFormat="1" applyFont="1" applyFill="1" applyBorder="1" applyAlignment="1">
      <alignment horizontal="center" vertical="center"/>
    </xf>
    <xf numFmtId="168" fontId="7" fillId="8" borderId="5" xfId="0" applyNumberFormat="1" applyFont="1" applyFill="1" applyBorder="1" applyAlignment="1">
      <alignment horizontal="center" vertical="center"/>
    </xf>
    <xf numFmtId="171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1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6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6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3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7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6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7" fillId="8" borderId="8" xfId="0" applyNumberFormat="1" applyFont="1" applyFill="1" applyBorder="1" applyAlignment="1">
      <alignment horizontal="center" vertical="center"/>
    </xf>
    <xf numFmtId="169" fontId="11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171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7" fillId="8" borderId="0" xfId="0" applyNumberFormat="1" applyFont="1" applyFill="1" applyBorder="1" applyAlignment="1">
      <alignment horizontal="center" vertical="center"/>
    </xf>
    <xf numFmtId="169" fontId="11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171" fontId="7" fillId="8" borderId="0" xfId="0" applyNumberFormat="1" applyFont="1" applyFill="1" applyBorder="1" applyAlignment="1">
      <alignment horizontal="center" vertical="center"/>
    </xf>
    <xf numFmtId="173" fontId="7" fillId="8" borderId="1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5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5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5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5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horizontal="left"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8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5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5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7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vertical="center" shrinkToFit="1"/>
    </xf>
    <xf numFmtId="0" fontId="15" fillId="0" borderId="8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3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6" fontId="53" fillId="0" borderId="0" xfId="0" applyNumberFormat="1" applyFont="1" applyBorder="1" applyAlignment="1">
      <alignment vertical="center"/>
    </xf>
    <xf numFmtId="166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Alignment="1">
      <alignment horizontal="center"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8" fontId="15" fillId="0" borderId="8" xfId="0" quotePrefix="1" applyNumberFormat="1" applyFont="1" applyFill="1" applyBorder="1" applyAlignment="1"/>
    <xf numFmtId="174" fontId="20" fillId="0" borderId="0" xfId="4" quotePrefix="1" applyNumberFormat="1" applyFont="1" applyBorder="1" applyAlignment="1">
      <alignment vertical="center"/>
    </xf>
    <xf numFmtId="174" fontId="20" fillId="0" borderId="0" xfId="4" applyNumberFormat="1" applyFont="1" applyBorder="1" applyAlignment="1">
      <alignment vertical="center"/>
    </xf>
    <xf numFmtId="0" fontId="41" fillId="0" borderId="0" xfId="0" applyFont="1" applyFill="1" applyAlignment="1">
      <alignment horizontal="left"/>
    </xf>
    <xf numFmtId="0" fontId="46" fillId="0" borderId="0" xfId="0" applyFont="1" applyBorder="1" applyAlignment="1">
      <alignment horizontal="left"/>
    </xf>
    <xf numFmtId="0" fontId="47" fillId="0" borderId="11" xfId="0" applyFont="1" applyBorder="1" applyAlignment="1"/>
    <xf numFmtId="0" fontId="53" fillId="0" borderId="11" xfId="0" applyFont="1" applyBorder="1" applyAlignment="1">
      <alignment vertical="center"/>
    </xf>
    <xf numFmtId="0" fontId="15" fillId="0" borderId="0" xfId="22" applyFont="1" applyAlignment="1">
      <alignment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Border="1" applyAlignment="1">
      <alignment vertical="center"/>
    </xf>
    <xf numFmtId="0" fontId="15" fillId="0" borderId="11" xfId="0" applyFont="1" applyBorder="1" applyAlignment="1">
      <alignment vertical="center" shrinkToFit="1"/>
    </xf>
    <xf numFmtId="0" fontId="15" fillId="0" borderId="0" xfId="0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0" fontId="15" fillId="0" borderId="8" xfId="22" applyFont="1" applyBorder="1" applyAlignment="1">
      <alignment horizontal="center" vertical="center"/>
    </xf>
    <xf numFmtId="0" fontId="15" fillId="0" borderId="11" xfId="22" applyFont="1" applyBorder="1" applyAlignment="1">
      <alignment horizontal="center" vertical="center"/>
    </xf>
    <xf numFmtId="0" fontId="60" fillId="0" borderId="0" xfId="9" applyFont="1" applyBorder="1" applyAlignment="1">
      <alignment vertical="center"/>
    </xf>
    <xf numFmtId="0" fontId="60" fillId="0" borderId="0" xfId="9" applyFont="1" applyAlignment="1">
      <alignment vertical="center"/>
    </xf>
    <xf numFmtId="0" fontId="60" fillId="0" borderId="0" xfId="9" applyFont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0" fillId="0" borderId="0" xfId="9" applyFont="1" applyBorder="1" applyAlignment="1">
      <alignment horizontal="center" vertical="center"/>
    </xf>
    <xf numFmtId="0" fontId="60" fillId="0" borderId="0" xfId="4" applyFont="1" applyBorder="1" applyAlignment="1">
      <alignment vertical="center"/>
    </xf>
    <xf numFmtId="0" fontId="61" fillId="0" borderId="0" xfId="4" applyFont="1" applyBorder="1" applyAlignment="1">
      <alignment vertical="center"/>
    </xf>
    <xf numFmtId="0" fontId="62" fillId="0" borderId="0" xfId="17" applyFont="1" applyBorder="1" applyAlignment="1">
      <alignment horizontal="left" vertical="center"/>
    </xf>
    <xf numFmtId="0" fontId="61" fillId="0" borderId="0" xfId="17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1" fillId="0" borderId="0" xfId="17" applyFont="1" applyFill="1" applyBorder="1" applyAlignment="1">
      <alignment horizontal="left" vertical="center"/>
    </xf>
    <xf numFmtId="165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0" fillId="0" borderId="0" xfId="4" applyFont="1" applyBorder="1" applyAlignment="1">
      <alignment horizontal="left" vertical="center"/>
    </xf>
    <xf numFmtId="0" fontId="61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1" fillId="0" borderId="0" xfId="4" applyNumberFormat="1" applyFont="1" applyBorder="1" applyAlignment="1">
      <alignment horizontal="left" vertical="center"/>
    </xf>
    <xf numFmtId="1" fontId="61" fillId="0" borderId="0" xfId="4" quotePrefix="1" applyNumberFormat="1" applyFont="1" applyBorder="1" applyAlignment="1">
      <alignment horizontal="left" vertical="center"/>
    </xf>
    <xf numFmtId="174" fontId="15" fillId="0" borderId="0" xfId="4" quotePrefix="1" applyNumberFormat="1" applyFont="1" applyBorder="1" applyAlignment="1">
      <alignment vertical="center"/>
    </xf>
    <xf numFmtId="0" fontId="63" fillId="0" borderId="0" xfId="4" applyFont="1" applyBorder="1" applyAlignment="1">
      <alignment horizontal="left" vertical="center"/>
    </xf>
    <xf numFmtId="9" fontId="63" fillId="0" borderId="0" xfId="4" applyNumberFormat="1" applyFont="1" applyBorder="1" applyAlignment="1">
      <alignment horizontal="left" vertical="center"/>
    </xf>
    <xf numFmtId="174" fontId="15" fillId="0" borderId="0" xfId="4" applyNumberFormat="1" applyFont="1" applyBorder="1" applyAlignment="1">
      <alignment vertical="center"/>
    </xf>
    <xf numFmtId="0" fontId="15" fillId="0" borderId="0" xfId="9" applyFont="1" applyAlignment="1">
      <alignment horizontal="left" vertical="center"/>
    </xf>
    <xf numFmtId="0" fontId="52" fillId="0" borderId="0" xfId="23" applyFont="1"/>
    <xf numFmtId="175" fontId="61" fillId="0" borderId="0" xfId="9" applyNumberFormat="1" applyFont="1" applyAlignment="1">
      <alignment vertical="center"/>
    </xf>
    <xf numFmtId="0" fontId="61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1" fillId="0" borderId="0" xfId="9" applyFont="1" applyBorder="1" applyAlignment="1">
      <alignment horizontal="left" vertical="center"/>
    </xf>
    <xf numFmtId="0" fontId="61" fillId="0" borderId="0" xfId="9" applyFont="1" applyAlignment="1">
      <alignment horizontal="center" vertical="center"/>
    </xf>
    <xf numFmtId="2" fontId="61" fillId="0" borderId="0" xfId="4" applyNumberFormat="1" applyFont="1" applyBorder="1" applyAlignment="1">
      <alignment vertical="center"/>
    </xf>
    <xf numFmtId="0" fontId="64" fillId="0" borderId="0" xfId="23" applyFont="1" applyFill="1" applyBorder="1" applyAlignment="1">
      <alignment vertical="center"/>
    </xf>
    <xf numFmtId="0" fontId="20" fillId="0" borderId="0" xfId="23" applyFont="1" applyAlignment="1">
      <alignment vertical="center"/>
    </xf>
    <xf numFmtId="0" fontId="3" fillId="0" borderId="0" xfId="23"/>
    <xf numFmtId="0" fontId="41" fillId="0" borderId="0" xfId="23" applyFont="1" applyFill="1" applyAlignment="1">
      <alignment vertical="center"/>
    </xf>
    <xf numFmtId="0" fontId="42" fillId="0" borderId="0" xfId="23" applyFont="1" applyAlignment="1">
      <alignment vertical="center"/>
    </xf>
    <xf numFmtId="0" fontId="15" fillId="0" borderId="0" xfId="4" applyNumberFormat="1" applyFont="1" applyBorder="1" applyAlignment="1">
      <alignment horizontal="right" vertical="center" shrinkToFit="1"/>
    </xf>
    <xf numFmtId="169" fontId="10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2" fontId="29" fillId="20" borderId="1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7" fillId="20" borderId="4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15" fillId="0" borderId="7" xfId="22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0" fillId="0" borderId="10" xfId="0" applyBorder="1"/>
    <xf numFmtId="0" fontId="15" fillId="0" borderId="11" xfId="22" applyFont="1" applyBorder="1" applyAlignment="1">
      <alignment horizontal="right" vertical="center" shrinkToFit="1"/>
    </xf>
    <xf numFmtId="173" fontId="15" fillId="0" borderId="11" xfId="22" applyNumberFormat="1" applyFont="1" applyBorder="1" applyAlignment="1">
      <alignment horizontal="center" vertical="center" shrinkToFit="1"/>
    </xf>
    <xf numFmtId="0" fontId="15" fillId="0" borderId="8" xfId="22" applyFont="1" applyBorder="1" applyAlignment="1">
      <alignment horizontal="right" vertical="center" shrinkToFit="1"/>
    </xf>
    <xf numFmtId="0" fontId="15" fillId="0" borderId="8" xfId="22" applyFont="1" applyBorder="1" applyAlignment="1">
      <alignment horizontal="center" vertical="center" shrinkToFit="1"/>
    </xf>
    <xf numFmtId="0" fontId="15" fillId="0" borderId="0" xfId="4" applyFont="1"/>
    <xf numFmtId="0" fontId="32" fillId="0" borderId="0" xfId="4" applyFont="1"/>
    <xf numFmtId="0" fontId="15" fillId="0" borderId="8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12" xfId="18" applyFont="1" applyFill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7" fillId="21" borderId="1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left"/>
    </xf>
    <xf numFmtId="180" fontId="61" fillId="0" borderId="0" xfId="9" applyNumberFormat="1" applyFont="1" applyAlignment="1">
      <alignment horizontal="left" vertical="center"/>
    </xf>
    <xf numFmtId="0" fontId="15" fillId="0" borderId="0" xfId="9" applyNumberFormat="1" applyFont="1" applyBorder="1" applyAlignment="1">
      <alignment vertical="center"/>
    </xf>
    <xf numFmtId="0" fontId="0" fillId="0" borderId="0" xfId="0" applyFont="1"/>
    <xf numFmtId="0" fontId="15" fillId="0" borderId="0" xfId="4" quotePrefix="1" applyFont="1" applyAlignment="1">
      <alignment vertical="center"/>
    </xf>
    <xf numFmtId="0" fontId="15" fillId="0" borderId="2" xfId="22" applyFont="1" applyBorder="1" applyAlignment="1">
      <alignment vertical="center"/>
    </xf>
    <xf numFmtId="0" fontId="15" fillId="0" borderId="6" xfId="22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15" fillId="0" borderId="3" xfId="22" applyFont="1" applyBorder="1" applyAlignment="1">
      <alignment vertical="center"/>
    </xf>
    <xf numFmtId="0" fontId="0" fillId="0" borderId="3" xfId="0" applyBorder="1"/>
    <xf numFmtId="0" fontId="0" fillId="0" borderId="7" xfId="0" applyBorder="1"/>
    <xf numFmtId="0" fontId="15" fillId="0" borderId="8" xfId="22" applyFont="1" applyBorder="1" applyAlignment="1">
      <alignment vertical="center"/>
    </xf>
    <xf numFmtId="0" fontId="0" fillId="0" borderId="8" xfId="0" applyBorder="1"/>
    <xf numFmtId="0" fontId="0" fillId="0" borderId="11" xfId="0" applyBorder="1"/>
    <xf numFmtId="0" fontId="60" fillId="0" borderId="0" xfId="9" applyFont="1" applyAlignment="1">
      <alignment horizontal="left" vertical="center"/>
    </xf>
    <xf numFmtId="0" fontId="53" fillId="0" borderId="10" xfId="0" applyFont="1" applyBorder="1" applyAlignment="1">
      <alignment vertical="center"/>
    </xf>
    <xf numFmtId="0" fontId="53" fillId="0" borderId="8" xfId="0" applyFont="1" applyBorder="1" applyAlignment="1">
      <alignment vertical="center"/>
    </xf>
    <xf numFmtId="179" fontId="47" fillId="0" borderId="0" xfId="18" applyNumberFormat="1" applyFont="1" applyFill="1" applyBorder="1" applyAlignment="1"/>
    <xf numFmtId="0" fontId="41" fillId="0" borderId="0" xfId="0" applyFont="1" applyFill="1" applyBorder="1" applyAlignment="1"/>
    <xf numFmtId="0" fontId="41" fillId="0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horizontal="left"/>
    </xf>
    <xf numFmtId="0" fontId="47" fillId="0" borderId="0" xfId="0" applyFont="1" applyFill="1" applyBorder="1" applyAlignment="1">
      <alignment horizontal="left"/>
    </xf>
    <xf numFmtId="0" fontId="47" fillId="0" borderId="0" xfId="0" applyFont="1" applyFill="1" applyAlignment="1">
      <alignment horizontal="left"/>
    </xf>
    <xf numFmtId="0" fontId="47" fillId="0" borderId="11" xfId="18" applyFont="1" applyFill="1" applyBorder="1" applyAlignment="1">
      <alignment horizontal="center"/>
    </xf>
    <xf numFmtId="0" fontId="15" fillId="0" borderId="0" xfId="4" applyNumberFormat="1" applyFont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70" fillId="0" borderId="18" xfId="0" applyFont="1" applyBorder="1" applyAlignment="1">
      <alignment horizontal="right"/>
    </xf>
    <xf numFmtId="0" fontId="71" fillId="0" borderId="0" xfId="0" applyFont="1"/>
    <xf numFmtId="0" fontId="71" fillId="23" borderId="21" xfId="0" applyFont="1" applyFill="1" applyBorder="1" applyAlignment="1"/>
    <xf numFmtId="0" fontId="70" fillId="0" borderId="18" xfId="0" applyFont="1" applyBorder="1" applyAlignment="1">
      <alignment horizontal="center" wrapText="1"/>
    </xf>
    <xf numFmtId="0" fontId="70" fillId="0" borderId="20" xfId="0" applyFont="1" applyBorder="1" applyAlignment="1">
      <alignment horizontal="center" wrapText="1"/>
    </xf>
    <xf numFmtId="0" fontId="74" fillId="0" borderId="20" xfId="0" applyFont="1" applyBorder="1" applyAlignment="1">
      <alignment horizontal="center" wrapText="1"/>
    </xf>
    <xf numFmtId="0" fontId="70" fillId="0" borderId="19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71" fillId="0" borderId="23" xfId="0" applyNumberFormat="1" applyFont="1" applyFill="1" applyBorder="1" applyAlignment="1" applyProtection="1">
      <alignment horizontal="center"/>
    </xf>
    <xf numFmtId="0" fontId="71" fillId="0" borderId="23" xfId="0" applyFont="1" applyFill="1" applyBorder="1" applyAlignment="1" applyProtection="1">
      <alignment horizontal="center"/>
    </xf>
    <xf numFmtId="10" fontId="71" fillId="0" borderId="23" xfId="0" applyNumberFormat="1" applyFont="1" applyFill="1" applyBorder="1" applyAlignment="1" applyProtection="1">
      <alignment horizontal="center"/>
    </xf>
    <xf numFmtId="0" fontId="71" fillId="22" borderId="24" xfId="0" applyFont="1" applyFill="1" applyBorder="1" applyProtection="1">
      <protection locked="0"/>
    </xf>
    <xf numFmtId="0" fontId="75" fillId="24" borderId="0" xfId="0" applyFont="1" applyFill="1"/>
    <xf numFmtId="0" fontId="77" fillId="0" borderId="0" xfId="0" applyFont="1"/>
    <xf numFmtId="0" fontId="71" fillId="22" borderId="27" xfId="0" applyFont="1" applyFill="1" applyBorder="1" applyProtection="1">
      <protection locked="0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8" fillId="0" borderId="0" xfId="0" applyFont="1" applyAlignment="1">
      <alignment horizontal="center"/>
    </xf>
    <xf numFmtId="0" fontId="71" fillId="22" borderId="28" xfId="0" applyFont="1" applyFill="1" applyBorder="1" applyProtection="1">
      <protection locked="0"/>
    </xf>
    <xf numFmtId="0" fontId="71" fillId="0" borderId="30" xfId="0" applyNumberFormat="1" applyFont="1" applyFill="1" applyBorder="1" applyAlignment="1" applyProtection="1">
      <alignment horizontal="center"/>
    </xf>
    <xf numFmtId="0" fontId="71" fillId="0" borderId="30" xfId="0" applyFont="1" applyFill="1" applyBorder="1" applyAlignment="1" applyProtection="1">
      <alignment horizontal="center"/>
    </xf>
    <xf numFmtId="10" fontId="71" fillId="0" borderId="30" xfId="0" applyNumberFormat="1" applyFont="1" applyFill="1" applyBorder="1" applyAlignment="1" applyProtection="1">
      <alignment horizontal="center"/>
    </xf>
    <xf numFmtId="0" fontId="71" fillId="22" borderId="31" xfId="0" applyFont="1" applyFill="1" applyBorder="1" applyProtection="1">
      <protection locked="0"/>
    </xf>
    <xf numFmtId="0" fontId="71" fillId="0" borderId="23" xfId="0" applyFont="1" applyBorder="1" applyProtection="1"/>
    <xf numFmtId="0" fontId="71" fillId="0" borderId="23" xfId="0" applyFont="1" applyBorder="1" applyAlignment="1" applyProtection="1">
      <alignment horizontal="center"/>
    </xf>
    <xf numFmtId="0" fontId="71" fillId="23" borderId="23" xfId="0" applyFont="1" applyFill="1" applyBorder="1" applyProtection="1"/>
    <xf numFmtId="10" fontId="72" fillId="23" borderId="23" xfId="0" applyNumberFormat="1" applyFont="1" applyFill="1" applyBorder="1" applyAlignment="1" applyProtection="1">
      <alignment horizontal="center"/>
    </xf>
    <xf numFmtId="0" fontId="71" fillId="23" borderId="24" xfId="0" applyFont="1" applyFill="1" applyBorder="1" applyProtection="1"/>
    <xf numFmtId="0" fontId="71" fillId="0" borderId="25" xfId="0" applyFont="1" applyBorder="1" applyProtection="1"/>
    <xf numFmtId="0" fontId="79" fillId="0" borderId="26" xfId="0" applyFont="1" applyBorder="1" applyAlignment="1" applyProtection="1">
      <alignment horizontal="center"/>
    </xf>
    <xf numFmtId="0" fontId="71" fillId="0" borderId="26" xfId="0" applyFont="1" applyBorder="1" applyProtection="1"/>
    <xf numFmtId="0" fontId="79" fillId="0" borderId="26" xfId="0" quotePrefix="1" applyFont="1" applyBorder="1" applyProtection="1"/>
    <xf numFmtId="0" fontId="71" fillId="0" borderId="26" xfId="0" applyFont="1" applyBorder="1" applyAlignment="1" applyProtection="1">
      <alignment horizontal="center"/>
    </xf>
    <xf numFmtId="10" fontId="71" fillId="0" borderId="26" xfId="0" applyNumberFormat="1" applyFont="1" applyBorder="1" applyProtection="1"/>
    <xf numFmtId="0" fontId="71" fillId="0" borderId="27" xfId="0" applyFont="1" applyBorder="1" applyProtection="1"/>
    <xf numFmtId="0" fontId="75" fillId="24" borderId="0" xfId="0" quotePrefix="1" applyFont="1" applyFill="1"/>
    <xf numFmtId="1" fontId="75" fillId="0" borderId="0" xfId="0" quotePrefix="1" applyNumberFormat="1" applyFont="1" applyAlignment="1">
      <alignment horizontal="right"/>
    </xf>
    <xf numFmtId="0" fontId="79" fillId="24" borderId="26" xfId="0" quotePrefix="1" applyFont="1" applyFill="1" applyBorder="1" applyAlignment="1" applyProtection="1">
      <alignment horizontal="center"/>
    </xf>
    <xf numFmtId="0" fontId="71" fillId="0" borderId="26" xfId="0" applyFont="1" applyFill="1" applyBorder="1" applyAlignment="1" applyProtection="1">
      <alignment horizontal="center"/>
    </xf>
    <xf numFmtId="0" fontId="0" fillId="0" borderId="23" xfId="0" applyBorder="1"/>
    <xf numFmtId="0" fontId="0" fillId="0" borderId="24" xfId="0" applyBorder="1"/>
    <xf numFmtId="0" fontId="71" fillId="25" borderId="30" xfId="0" quotePrefix="1" applyFont="1" applyFill="1" applyBorder="1" applyAlignment="1" applyProtection="1">
      <alignment horizontal="center"/>
    </xf>
    <xf numFmtId="0" fontId="81" fillId="0" borderId="30" xfId="0" applyFont="1" applyBorder="1"/>
    <xf numFmtId="0" fontId="0" fillId="0" borderId="31" xfId="0" applyBorder="1"/>
    <xf numFmtId="0" fontId="0" fillId="24" borderId="0" xfId="0" applyFill="1"/>
    <xf numFmtId="0" fontId="75" fillId="0" borderId="0" xfId="0" quotePrefix="1" applyFont="1" applyAlignment="1">
      <alignment horizontal="left"/>
    </xf>
    <xf numFmtId="0" fontId="0" fillId="0" borderId="0" xfId="0" quotePrefix="1" applyFill="1" applyBorder="1" applyAlignment="1">
      <alignment horizontal="center"/>
    </xf>
    <xf numFmtId="0" fontId="7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71" fillId="9" borderId="23" xfId="0" applyFont="1" applyFill="1" applyBorder="1" applyAlignment="1" applyProtection="1">
      <alignment horizontal="center"/>
      <protection locked="0"/>
    </xf>
    <xf numFmtId="0" fontId="71" fillId="9" borderId="30" xfId="0" applyFont="1" applyFill="1" applyBorder="1" applyAlignment="1" applyProtection="1">
      <alignment horizontal="center"/>
      <protection locked="0"/>
    </xf>
    <xf numFmtId="0" fontId="71" fillId="9" borderId="19" xfId="0" applyFont="1" applyFill="1" applyBorder="1" applyAlignment="1" applyProtection="1">
      <alignment horizontal="center"/>
      <protection locked="0"/>
    </xf>
    <xf numFmtId="0" fontId="71" fillId="26" borderId="22" xfId="0" applyFont="1" applyFill="1" applyBorder="1" applyAlignment="1" applyProtection="1">
      <alignment horizontal="left"/>
      <protection locked="0"/>
    </xf>
    <xf numFmtId="0" fontId="71" fillId="26" borderId="23" xfId="0" applyFont="1" applyFill="1" applyBorder="1" applyAlignment="1" applyProtection="1">
      <alignment horizontal="center"/>
      <protection locked="0"/>
    </xf>
    <xf numFmtId="0" fontId="71" fillId="26" borderId="23" xfId="0" applyFont="1" applyFill="1" applyBorder="1" applyAlignment="1" applyProtection="1">
      <alignment horizontal="right"/>
      <protection locked="0"/>
    </xf>
    <xf numFmtId="0" fontId="71" fillId="26" borderId="23" xfId="0" applyFont="1" applyFill="1" applyBorder="1" applyAlignment="1" applyProtection="1">
      <alignment horizontal="center"/>
    </xf>
    <xf numFmtId="0" fontId="71" fillId="26" borderId="25" xfId="0" applyFont="1" applyFill="1" applyBorder="1" applyAlignment="1" applyProtection="1">
      <alignment horizontal="left"/>
      <protection locked="0"/>
    </xf>
    <xf numFmtId="0" fontId="71" fillId="26" borderId="26" xfId="0" applyFont="1" applyFill="1" applyBorder="1" applyAlignment="1" applyProtection="1">
      <alignment horizontal="center"/>
      <protection locked="0"/>
    </xf>
    <xf numFmtId="0" fontId="71" fillId="26" borderId="26" xfId="0" applyFont="1" applyFill="1" applyBorder="1" applyAlignment="1" applyProtection="1">
      <alignment horizontal="right"/>
      <protection locked="0"/>
    </xf>
    <xf numFmtId="0" fontId="71" fillId="26" borderId="29" xfId="0" applyFont="1" applyFill="1" applyBorder="1" applyAlignment="1" applyProtection="1">
      <alignment horizontal="left"/>
      <protection locked="0"/>
    </xf>
    <xf numFmtId="0" fontId="71" fillId="26" borderId="30" xfId="0" applyFont="1" applyFill="1" applyBorder="1" applyAlignment="1" applyProtection="1">
      <alignment horizontal="center"/>
      <protection locked="0"/>
    </xf>
    <xf numFmtId="0" fontId="71" fillId="26" borderId="30" xfId="0" applyFont="1" applyFill="1" applyBorder="1" applyAlignment="1" applyProtection="1">
      <alignment horizontal="right"/>
      <protection locked="0"/>
    </xf>
    <xf numFmtId="0" fontId="86" fillId="28" borderId="0" xfId="0" applyFont="1" applyFill="1" applyAlignment="1">
      <alignment horizontal="center" wrapText="1"/>
    </xf>
    <xf numFmtId="11" fontId="52" fillId="0" borderId="0" xfId="0" applyNumberFormat="1" applyFont="1"/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7" fontId="15" fillId="0" borderId="12" xfId="0" applyNumberFormat="1" applyFont="1" applyBorder="1" applyAlignment="1">
      <alignment horizontal="center" vertical="center"/>
    </xf>
    <xf numFmtId="167" fontId="15" fillId="0" borderId="0" xfId="0" applyNumberFormat="1" applyFont="1" applyBorder="1" applyAlignment="1">
      <alignment horizontal="center" vertical="center"/>
    </xf>
    <xf numFmtId="167" fontId="15" fillId="0" borderId="13" xfId="0" applyNumberFormat="1" applyFont="1" applyBorder="1" applyAlignment="1">
      <alignment horizontal="center" vertical="center"/>
    </xf>
    <xf numFmtId="166" fontId="53" fillId="0" borderId="12" xfId="0" applyNumberFormat="1" applyFont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/>
    </xf>
    <xf numFmtId="166" fontId="53" fillId="0" borderId="13" xfId="0" applyNumberFormat="1" applyFont="1" applyBorder="1" applyAlignment="1">
      <alignment horizontal="center" vertical="center"/>
    </xf>
    <xf numFmtId="173" fontId="15" fillId="0" borderId="10" xfId="0" quotePrefix="1" applyNumberFormat="1" applyFont="1" applyBorder="1" applyAlignment="1">
      <alignment horizontal="center" vertical="center" shrinkToFit="1"/>
    </xf>
    <xf numFmtId="173" fontId="15" fillId="0" borderId="11" xfId="0" quotePrefix="1" applyNumberFormat="1" applyFont="1" applyBorder="1" applyAlignment="1">
      <alignment horizontal="center" vertical="center" shrinkToFit="1"/>
    </xf>
    <xf numFmtId="173" fontId="15" fillId="0" borderId="14" xfId="0" quotePrefix="1" applyNumberFormat="1" applyFont="1" applyBorder="1" applyAlignment="1">
      <alignment horizontal="center" vertical="center" shrinkToFit="1"/>
    </xf>
    <xf numFmtId="173" fontId="15" fillId="0" borderId="12" xfId="0" quotePrefix="1" applyNumberFormat="1" applyFont="1" applyBorder="1" applyAlignment="1">
      <alignment horizontal="center" vertical="center" shrinkToFit="1"/>
    </xf>
    <xf numFmtId="173" fontId="15" fillId="0" borderId="0" xfId="0" quotePrefix="1" applyNumberFormat="1" applyFont="1" applyBorder="1" applyAlignment="1">
      <alignment horizontal="center" vertical="center" shrinkToFit="1"/>
    </xf>
    <xf numFmtId="173" fontId="15" fillId="0" borderId="13" xfId="0" quotePrefix="1" applyNumberFormat="1" applyFont="1" applyBorder="1" applyAlignment="1">
      <alignment horizontal="center" vertical="center" shrinkToFit="1"/>
    </xf>
    <xf numFmtId="166" fontId="53" fillId="0" borderId="7" xfId="0" applyNumberFormat="1" applyFont="1" applyBorder="1" applyAlignment="1">
      <alignment horizontal="center" vertical="center"/>
    </xf>
    <xf numFmtId="166" fontId="53" fillId="0" borderId="8" xfId="0" applyNumberFormat="1" applyFont="1" applyBorder="1" applyAlignment="1">
      <alignment horizontal="center" vertical="center"/>
    </xf>
    <xf numFmtId="166" fontId="53" fillId="0" borderId="9" xfId="0" applyNumberFormat="1" applyFont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7" fontId="15" fillId="0" borderId="8" xfId="0" applyNumberFormat="1" applyFont="1" applyBorder="1" applyAlignment="1">
      <alignment horizontal="center" vertical="center"/>
    </xf>
    <xf numFmtId="167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53" fillId="0" borderId="10" xfId="0" applyNumberFormat="1" applyFont="1" applyBorder="1" applyAlignment="1">
      <alignment horizontal="center" vertical="center"/>
    </xf>
    <xf numFmtId="166" fontId="53" fillId="0" borderId="11" xfId="0" applyNumberFormat="1" applyFont="1" applyBorder="1" applyAlignment="1">
      <alignment horizontal="center" vertical="center"/>
    </xf>
    <xf numFmtId="166" fontId="53" fillId="0" borderId="14" xfId="0" applyNumberFormat="1" applyFont="1" applyBorder="1" applyAlignment="1">
      <alignment horizontal="center" vertical="center"/>
    </xf>
    <xf numFmtId="166" fontId="53" fillId="0" borderId="12" xfId="0" applyNumberFormat="1" applyFont="1" applyBorder="1" applyAlignment="1" applyProtection="1">
      <alignment horizontal="center" vertical="center"/>
    </xf>
    <xf numFmtId="166" fontId="53" fillId="0" borderId="0" xfId="0" applyNumberFormat="1" applyFont="1" applyBorder="1" applyAlignment="1" applyProtection="1">
      <alignment horizontal="center" vertical="center"/>
    </xf>
    <xf numFmtId="166" fontId="53" fillId="0" borderId="13" xfId="0" applyNumberFormat="1" applyFont="1" applyBorder="1" applyAlignment="1" applyProtection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11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7" fontId="15" fillId="0" borderId="10" xfId="0" applyNumberFormat="1" applyFont="1" applyBorder="1" applyAlignment="1">
      <alignment horizontal="center" vertical="center"/>
    </xf>
    <xf numFmtId="167" fontId="15" fillId="0" borderId="11" xfId="0" applyNumberFormat="1" applyFont="1" applyBorder="1" applyAlignment="1">
      <alignment horizontal="center" vertical="center"/>
    </xf>
    <xf numFmtId="167" fontId="15" fillId="0" borderId="14" xfId="0" applyNumberFormat="1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167" fontId="46" fillId="0" borderId="0" xfId="0" applyNumberFormat="1" applyFont="1" applyBorder="1" applyAlignment="1">
      <alignment horizontal="center" vertical="center"/>
    </xf>
    <xf numFmtId="173" fontId="15" fillId="0" borderId="7" xfId="0" quotePrefix="1" applyNumberFormat="1" applyFont="1" applyBorder="1" applyAlignment="1">
      <alignment horizontal="center" vertical="center" shrinkToFit="1"/>
    </xf>
    <xf numFmtId="173" fontId="15" fillId="0" borderId="8" xfId="0" quotePrefix="1" applyNumberFormat="1" applyFont="1" applyBorder="1" applyAlignment="1">
      <alignment horizontal="center" vertical="center" shrinkToFit="1"/>
    </xf>
    <xf numFmtId="173" fontId="15" fillId="0" borderId="9" xfId="0" quotePrefix="1" applyNumberFormat="1" applyFont="1" applyBorder="1" applyAlignment="1">
      <alignment horizontal="center" vertical="center" shrinkToFit="1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6" fillId="0" borderId="0" xfId="0" applyFont="1" applyBorder="1" applyAlignment="1">
      <alignment horizontal="center" vertical="center"/>
    </xf>
    <xf numFmtId="0" fontId="49" fillId="5" borderId="0" xfId="0" applyFont="1" applyFill="1" applyBorder="1" applyAlignment="1">
      <alignment horizont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7" fontId="15" fillId="0" borderId="7" xfId="18" applyNumberFormat="1" applyFont="1" applyBorder="1" applyAlignment="1">
      <alignment horizontal="center" vertical="center"/>
    </xf>
    <xf numFmtId="177" fontId="15" fillId="0" borderId="8" xfId="18" applyNumberFormat="1" applyFont="1" applyBorder="1" applyAlignment="1">
      <alignment horizontal="center" vertical="center"/>
    </xf>
    <xf numFmtId="177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7" fontId="15" fillId="0" borderId="10" xfId="18" applyNumberFormat="1" applyFont="1" applyBorder="1" applyAlignment="1">
      <alignment horizontal="center" vertical="center"/>
    </xf>
    <xf numFmtId="177" fontId="15" fillId="0" borderId="11" xfId="18" applyNumberFormat="1" applyFont="1" applyBorder="1" applyAlignment="1">
      <alignment horizontal="center" vertical="center"/>
    </xf>
    <xf numFmtId="177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right" vertical="center"/>
    </xf>
    <xf numFmtId="2" fontId="15" fillId="0" borderId="7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left"/>
    </xf>
    <xf numFmtId="0" fontId="47" fillId="0" borderId="11" xfId="18" applyFont="1" applyFill="1" applyBorder="1" applyAlignment="1">
      <alignment horizontal="left"/>
    </xf>
    <xf numFmtId="179" fontId="47" fillId="0" borderId="11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6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/>
    </xf>
    <xf numFmtId="0" fontId="47" fillId="0" borderId="11" xfId="18" applyFont="1" applyFill="1" applyBorder="1" applyAlignment="1">
      <alignment horizontal="center"/>
    </xf>
    <xf numFmtId="0" fontId="47" fillId="0" borderId="6" xfId="18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left" vertical="center"/>
    </xf>
    <xf numFmtId="0" fontId="47" fillId="0" borderId="11" xfId="0" applyFont="1" applyFill="1" applyBorder="1" applyAlignment="1">
      <alignment horizontal="center"/>
    </xf>
    <xf numFmtId="0" fontId="53" fillId="0" borderId="8" xfId="0" applyFont="1" applyBorder="1" applyAlignment="1">
      <alignment horizontal="left" vertical="center" shrinkToFit="1"/>
    </xf>
    <xf numFmtId="0" fontId="53" fillId="0" borderId="9" xfId="0" applyFont="1" applyBorder="1" applyAlignment="1">
      <alignment horizontal="left" vertical="center" shrinkToFit="1"/>
    </xf>
    <xf numFmtId="0" fontId="53" fillId="0" borderId="0" xfId="0" applyFont="1" applyBorder="1" applyAlignment="1">
      <alignment horizontal="left" vertical="center" shrinkToFit="1"/>
    </xf>
    <xf numFmtId="0" fontId="53" fillId="0" borderId="13" xfId="0" applyFont="1" applyBorder="1" applyAlignment="1">
      <alignment horizontal="left" vertical="center" shrinkToFit="1"/>
    </xf>
    <xf numFmtId="0" fontId="47" fillId="0" borderId="11" xfId="0" applyFont="1" applyFill="1" applyBorder="1" applyAlignment="1">
      <alignment horizontal="left" vertical="center"/>
    </xf>
    <xf numFmtId="0" fontId="53" fillId="0" borderId="11" xfId="0" applyFont="1" applyBorder="1" applyAlignment="1">
      <alignment horizontal="left" vertical="center" shrinkToFit="1"/>
    </xf>
    <xf numFmtId="0" fontId="53" fillId="0" borderId="14" xfId="0" applyFont="1" applyBorder="1" applyAlignment="1">
      <alignment horizontal="left" vertical="center" shrinkToFit="1"/>
    </xf>
    <xf numFmtId="0" fontId="53" fillId="0" borderId="0" xfId="0" applyFont="1" applyBorder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59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1" fontId="61" fillId="0" borderId="0" xfId="4" quotePrefix="1" applyNumberFormat="1" applyFont="1" applyBorder="1" applyAlignment="1">
      <alignment horizontal="left" vertical="center"/>
    </xf>
    <xf numFmtId="180" fontId="61" fillId="0" borderId="0" xfId="9" applyNumberFormat="1" applyFont="1" applyAlignment="1">
      <alignment horizontal="left" vertical="center"/>
    </xf>
    <xf numFmtId="0" fontId="61" fillId="0" borderId="0" xfId="9" applyFont="1" applyBorder="1" applyAlignment="1">
      <alignment horizontal="center" vertical="center"/>
    </xf>
    <xf numFmtId="0" fontId="61" fillId="0" borderId="0" xfId="9" applyFont="1" applyAlignment="1">
      <alignment horizontal="center" vertical="center"/>
    </xf>
    <xf numFmtId="179" fontId="61" fillId="0" borderId="0" xfId="4" quotePrefix="1" applyNumberFormat="1" applyFont="1" applyBorder="1" applyAlignment="1">
      <alignment horizontal="left" vertical="center"/>
    </xf>
    <xf numFmtId="179" fontId="61" fillId="0" borderId="0" xfId="4" applyNumberFormat="1" applyFont="1" applyBorder="1" applyAlignment="1">
      <alignment horizontal="left" vertical="center"/>
    </xf>
    <xf numFmtId="0" fontId="57" fillId="0" borderId="0" xfId="9" applyFont="1" applyAlignment="1">
      <alignment horizontal="center" vertical="center"/>
    </xf>
    <xf numFmtId="0" fontId="56" fillId="0" borderId="0" xfId="9" applyFont="1" applyAlignment="1">
      <alignment horizontal="center" vertical="center"/>
    </xf>
    <xf numFmtId="176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174" fontId="20" fillId="0" borderId="0" xfId="4" applyNumberFormat="1" applyFont="1" applyBorder="1" applyAlignment="1">
      <alignment horizontal="left" vertical="center"/>
    </xf>
    <xf numFmtId="174" fontId="20" fillId="0" borderId="0" xfId="4" quotePrefix="1" applyNumberFormat="1" applyFont="1" applyBorder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8" fontId="15" fillId="0" borderId="2" xfId="0" quotePrefix="1" applyNumberFormat="1" applyFont="1" applyFill="1" applyBorder="1" applyAlignment="1">
      <alignment horizontal="center" vertical="center"/>
    </xf>
    <xf numFmtId="178" fontId="15" fillId="0" borderId="6" xfId="0" quotePrefix="1" applyNumberFormat="1" applyFont="1" applyFill="1" applyBorder="1" applyAlignment="1">
      <alignment horizontal="center" vertical="center"/>
    </xf>
    <xf numFmtId="178" fontId="15" fillId="0" borderId="3" xfId="0" quotePrefix="1" applyNumberFormat="1" applyFont="1" applyFill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2" fontId="41" fillId="0" borderId="10" xfId="0" applyNumberFormat="1" applyFont="1" applyBorder="1" applyAlignment="1">
      <alignment horizontal="center" vertical="center"/>
    </xf>
    <xf numFmtId="2" fontId="41" fillId="0" borderId="11" xfId="0" applyNumberFormat="1" applyFont="1" applyBorder="1" applyAlignment="1">
      <alignment horizontal="center" vertical="center"/>
    </xf>
    <xf numFmtId="2" fontId="41" fillId="0" borderId="14" xfId="0" applyNumberFormat="1" applyFont="1" applyBorder="1" applyAlignment="1">
      <alignment horizontal="center" vertical="center"/>
    </xf>
    <xf numFmtId="173" fontId="15" fillId="0" borderId="10" xfId="21" applyNumberFormat="1" applyFont="1" applyBorder="1" applyAlignment="1">
      <alignment horizontal="center" vertical="center"/>
    </xf>
    <xf numFmtId="173" fontId="15" fillId="0" borderId="11" xfId="21" applyNumberFormat="1" applyFont="1" applyBorder="1" applyAlignment="1">
      <alignment horizontal="center" vertical="center"/>
    </xf>
    <xf numFmtId="173" fontId="15" fillId="0" borderId="14" xfId="21" applyNumberFormat="1" applyFont="1" applyBorder="1" applyAlignment="1">
      <alignment horizontal="center" vertical="center"/>
    </xf>
    <xf numFmtId="166" fontId="15" fillId="0" borderId="10" xfId="21" applyNumberFormat="1" applyFont="1" applyBorder="1" applyAlignment="1">
      <alignment horizontal="center" vertical="center"/>
    </xf>
    <xf numFmtId="166" fontId="15" fillId="0" borderId="11" xfId="21" applyNumberFormat="1" applyFont="1" applyBorder="1" applyAlignment="1">
      <alignment horizontal="center" vertical="center"/>
    </xf>
    <xf numFmtId="166" fontId="15" fillId="0" borderId="14" xfId="21" applyNumberFormat="1" applyFont="1" applyBorder="1" applyAlignment="1">
      <alignment horizontal="center" vertical="center"/>
    </xf>
    <xf numFmtId="2" fontId="41" fillId="0" borderId="12" xfId="0" applyNumberFormat="1" applyFont="1" applyBorder="1" applyAlignment="1">
      <alignment horizontal="center" vertical="center"/>
    </xf>
    <xf numFmtId="2" fontId="41" fillId="0" borderId="0" xfId="0" applyNumberFormat="1" applyFont="1" applyBorder="1" applyAlignment="1">
      <alignment horizontal="center" vertical="center"/>
    </xf>
    <xf numFmtId="2" fontId="41" fillId="0" borderId="13" xfId="0" applyNumberFormat="1" applyFont="1" applyBorder="1" applyAlignment="1">
      <alignment horizontal="center" vertical="center"/>
    </xf>
    <xf numFmtId="2" fontId="41" fillId="0" borderId="7" xfId="0" applyNumberFormat="1" applyFont="1" applyBorder="1" applyAlignment="1">
      <alignment horizontal="center" vertical="center"/>
    </xf>
    <xf numFmtId="2" fontId="41" fillId="0" borderId="8" xfId="0" applyNumberFormat="1" applyFont="1" applyBorder="1" applyAlignment="1">
      <alignment horizontal="center" vertical="center"/>
    </xf>
    <xf numFmtId="2" fontId="41" fillId="0" borderId="9" xfId="0" applyNumberFormat="1" applyFont="1" applyBorder="1" applyAlignment="1">
      <alignment horizontal="center" vertical="center"/>
    </xf>
    <xf numFmtId="166" fontId="15" fillId="0" borderId="7" xfId="21" applyNumberFormat="1" applyFont="1" applyBorder="1" applyAlignment="1">
      <alignment horizontal="center" vertical="center"/>
    </xf>
    <xf numFmtId="166" fontId="15" fillId="0" borderId="8" xfId="21" applyNumberFormat="1" applyFont="1" applyBorder="1" applyAlignment="1">
      <alignment horizontal="center" vertical="center"/>
    </xf>
    <xf numFmtId="166" fontId="15" fillId="0" borderId="9" xfId="21" applyNumberFormat="1" applyFont="1" applyBorder="1" applyAlignment="1">
      <alignment horizontal="center" vertical="center"/>
    </xf>
    <xf numFmtId="166" fontId="15" fillId="0" borderId="12" xfId="21" applyNumberFormat="1" applyFont="1" applyBorder="1" applyAlignment="1">
      <alignment horizontal="center" vertical="center"/>
    </xf>
    <xf numFmtId="166" fontId="15" fillId="0" borderId="0" xfId="21" applyNumberFormat="1" applyFont="1" applyBorder="1" applyAlignment="1">
      <alignment horizontal="center" vertical="center"/>
    </xf>
    <xf numFmtId="166" fontId="15" fillId="0" borderId="13" xfId="21" applyNumberFormat="1" applyFont="1" applyBorder="1" applyAlignment="1">
      <alignment horizontal="center" vertical="center"/>
    </xf>
    <xf numFmtId="173" fontId="15" fillId="0" borderId="7" xfId="21" applyNumberFormat="1" applyFont="1" applyBorder="1" applyAlignment="1">
      <alignment horizontal="center" vertical="center"/>
    </xf>
    <xf numFmtId="173" fontId="15" fillId="0" borderId="8" xfId="21" applyNumberFormat="1" applyFont="1" applyBorder="1" applyAlignment="1">
      <alignment horizontal="center" vertical="center"/>
    </xf>
    <xf numFmtId="173" fontId="15" fillId="0" borderId="9" xfId="21" applyNumberFormat="1" applyFont="1" applyBorder="1" applyAlignment="1">
      <alignment horizontal="center" vertical="center"/>
    </xf>
    <xf numFmtId="173" fontId="15" fillId="0" borderId="12" xfId="21" applyNumberFormat="1" applyFont="1" applyBorder="1" applyAlignment="1">
      <alignment horizontal="center" vertical="center"/>
    </xf>
    <xf numFmtId="173" fontId="15" fillId="0" borderId="0" xfId="21" applyNumberFormat="1" applyFont="1" applyBorder="1" applyAlignment="1">
      <alignment horizontal="center" vertical="center"/>
    </xf>
    <xf numFmtId="173" fontId="15" fillId="0" borderId="13" xfId="21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0" xfId="4" applyNumberFormat="1" applyFont="1" applyBorder="1" applyAlignment="1">
      <alignment horizontal="left" vertical="center"/>
    </xf>
    <xf numFmtId="166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4" fillId="10" borderId="2" xfId="1" applyNumberFormat="1" applyFont="1" applyFill="1" applyBorder="1" applyAlignment="1" applyProtection="1">
      <alignment horizontal="center" vertical="center"/>
      <protection locked="0"/>
    </xf>
    <xf numFmtId="172" fontId="24" fillId="10" borderId="6" xfId="1" applyNumberFormat="1" applyFont="1" applyFill="1" applyBorder="1" applyAlignment="1" applyProtection="1">
      <alignment horizontal="center" vertical="center"/>
      <protection locked="0"/>
    </xf>
    <xf numFmtId="172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87" fillId="0" borderId="0" xfId="0" applyFont="1" applyAlignment="1">
      <alignment horizontal="left" vertical="top" wrapText="1"/>
    </xf>
    <xf numFmtId="0" fontId="83" fillId="0" borderId="0" xfId="0" applyFont="1" applyAlignment="1">
      <alignment horizontal="center" wrapText="1"/>
    </xf>
    <xf numFmtId="0" fontId="73" fillId="0" borderId="0" xfId="0" applyFont="1" applyAlignment="1">
      <alignment horizontal="center"/>
    </xf>
    <xf numFmtId="0" fontId="76" fillId="0" borderId="0" xfId="0" applyFont="1" applyAlignment="1">
      <alignment horizontal="center" wrapText="1"/>
    </xf>
    <xf numFmtId="0" fontId="7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9" fillId="0" borderId="29" xfId="0" applyFont="1" applyBorder="1" applyAlignment="1" applyProtection="1">
      <alignment horizontal="right"/>
    </xf>
    <xf numFmtId="0" fontId="79" fillId="0" borderId="30" xfId="0" applyFont="1" applyBorder="1" applyAlignment="1" applyProtection="1">
      <alignment horizontal="right"/>
    </xf>
    <xf numFmtId="0" fontId="70" fillId="0" borderId="18" xfId="0" applyFont="1" applyBorder="1" applyAlignment="1">
      <alignment horizontal="right"/>
    </xf>
    <xf numFmtId="0" fontId="70" fillId="0" borderId="20" xfId="0" applyFont="1" applyBorder="1" applyAlignment="1">
      <alignment horizontal="right"/>
    </xf>
    <xf numFmtId="0" fontId="71" fillId="9" borderId="20" xfId="0" applyFont="1" applyFill="1" applyBorder="1" applyAlignment="1" applyProtection="1">
      <alignment horizontal="left"/>
      <protection locked="0"/>
    </xf>
    <xf numFmtId="0" fontId="71" fillId="9" borderId="19" xfId="0" applyFont="1" applyFill="1" applyBorder="1" applyAlignment="1" applyProtection="1">
      <alignment horizontal="left"/>
      <protection locked="0"/>
    </xf>
    <xf numFmtId="0" fontId="72" fillId="27" borderId="21" xfId="0" applyFont="1" applyFill="1" applyBorder="1" applyAlignment="1">
      <alignment horizontal="right"/>
    </xf>
    <xf numFmtId="0" fontId="72" fillId="27" borderId="21" xfId="0" applyFont="1" applyFill="1" applyBorder="1" applyAlignment="1">
      <alignment horizontal="left"/>
    </xf>
    <xf numFmtId="0" fontId="72" fillId="23" borderId="32" xfId="0" applyFont="1" applyFill="1" applyBorder="1" applyAlignment="1" applyProtection="1">
      <alignment horizontal="center"/>
    </xf>
    <xf numFmtId="0" fontId="72" fillId="23" borderId="33" xfId="0" applyFont="1" applyFill="1" applyBorder="1" applyAlignment="1" applyProtection="1">
      <alignment horizontal="center"/>
    </xf>
    <xf numFmtId="0" fontId="72" fillId="23" borderId="34" xfId="0" applyFont="1" applyFill="1" applyBorder="1" applyAlignment="1" applyProtection="1">
      <alignment horizontal="center"/>
    </xf>
    <xf numFmtId="0" fontId="71" fillId="0" borderId="35" xfId="0" applyFont="1" applyBorder="1" applyAlignment="1" applyProtection="1">
      <alignment horizontal="right"/>
    </xf>
    <xf numFmtId="0" fontId="71" fillId="0" borderId="36" xfId="0" applyFont="1" applyBorder="1" applyAlignment="1" applyProtection="1">
      <alignment horizontal="right"/>
    </xf>
    <xf numFmtId="0" fontId="71" fillId="0" borderId="37" xfId="0" applyFont="1" applyBorder="1" applyAlignment="1" applyProtection="1">
      <alignment horizontal="right"/>
    </xf>
    <xf numFmtId="0" fontId="72" fillId="23" borderId="38" xfId="0" applyFont="1" applyFill="1" applyBorder="1" applyAlignment="1" applyProtection="1">
      <alignment horizontal="center" wrapText="1"/>
    </xf>
    <xf numFmtId="0" fontId="72" fillId="23" borderId="39" xfId="0" applyFont="1" applyFill="1" applyBorder="1" applyAlignment="1" applyProtection="1">
      <alignment horizontal="center" wrapText="1"/>
    </xf>
    <xf numFmtId="0" fontId="72" fillId="23" borderId="40" xfId="0" applyFont="1" applyFill="1" applyBorder="1" applyAlignment="1" applyProtection="1">
      <alignment horizontal="center" wrapText="1"/>
    </xf>
    <xf numFmtId="0" fontId="72" fillId="23" borderId="41" xfId="0" applyFont="1" applyFill="1" applyBorder="1" applyAlignment="1" applyProtection="1">
      <alignment horizontal="center" wrapText="1"/>
    </xf>
    <xf numFmtId="0" fontId="71" fillId="0" borderId="25" xfId="0" applyFont="1" applyBorder="1" applyAlignment="1" applyProtection="1">
      <alignment horizontal="right"/>
    </xf>
    <xf numFmtId="0" fontId="71" fillId="0" borderId="26" xfId="0" applyFont="1" applyBorder="1" applyAlignment="1" applyProtection="1">
      <alignment horizontal="right"/>
    </xf>
  </cellXfs>
  <cellStyles count="61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Followed Hyperlink" xfId="60" builtinId="9" hidden="1"/>
    <cellStyle name="Grey" xfId="30"/>
    <cellStyle name="Header1" xfId="31"/>
    <cellStyle name="Header2" xfId="32"/>
    <cellStyle name="Hyperlink" xfId="59" builtinId="8" hidden="1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CCECFF"/>
      <color rgb="FF0BF311"/>
      <color rgb="FF00FFFF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200025</xdr:colOff>
          <xdr:row>3</xdr:row>
          <xdr:rowOff>66675</xdr:rowOff>
        </xdr:from>
        <xdr:to>
          <xdr:col>25</xdr:col>
          <xdr:colOff>28575</xdr:colOff>
          <xdr:row>4</xdr:row>
          <xdr:rowOff>66675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47625</xdr:rowOff>
        </xdr:from>
        <xdr:to>
          <xdr:col>17</xdr:col>
          <xdr:colOff>38100</xdr:colOff>
          <xdr:row>4</xdr:row>
          <xdr:rowOff>76200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114300</xdr:rowOff>
        </xdr:from>
        <xdr:to>
          <xdr:col>8</xdr:col>
          <xdr:colOff>9525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9525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ACCREDITED%2017025\ELECTRICAL%20(LF)\CAL%20Record%20Form%20by%20Model%20(EEL)%20Confirmed\Special%20&amp;%20Customer%20Request\Panasonic%20(HA)\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1BC"/>
  </sheetPr>
  <dimension ref="B1:AP58"/>
  <sheetViews>
    <sheetView view="pageBreakPreview" topLeftCell="A13" zoomScaleSheetLayoutView="100" workbookViewId="0">
      <selection activeCell="U11" sqref="U11:AD11"/>
    </sheetView>
  </sheetViews>
  <sheetFormatPr defaultColWidth="7.42578125" defaultRowHeight="18.75" customHeight="1"/>
  <cols>
    <col min="1" max="1" width="1.42578125" style="162" customWidth="1"/>
    <col min="2" max="15" width="3.140625" style="162" customWidth="1"/>
    <col min="16" max="16" width="3.85546875" style="162" customWidth="1"/>
    <col min="17" max="41" width="3.140625" style="162" customWidth="1"/>
    <col min="42" max="193" width="7.42578125" style="162"/>
    <col min="194" max="194" width="1.42578125" style="162" customWidth="1"/>
    <col min="195" max="198" width="3.42578125" style="162" customWidth="1"/>
    <col min="199" max="202" width="5.42578125" style="162" customWidth="1"/>
    <col min="203" max="218" width="4" style="162" customWidth="1"/>
    <col min="219" max="258" width="3.42578125" style="162" customWidth="1"/>
    <col min="259" max="449" width="7.42578125" style="162"/>
    <col min="450" max="450" width="1.42578125" style="162" customWidth="1"/>
    <col min="451" max="454" width="3.42578125" style="162" customWidth="1"/>
    <col min="455" max="458" width="5.42578125" style="162" customWidth="1"/>
    <col min="459" max="474" width="4" style="162" customWidth="1"/>
    <col min="475" max="514" width="3.42578125" style="162" customWidth="1"/>
    <col min="515" max="705" width="7.42578125" style="162"/>
    <col min="706" max="706" width="1.42578125" style="162" customWidth="1"/>
    <col min="707" max="710" width="3.42578125" style="162" customWidth="1"/>
    <col min="711" max="714" width="5.42578125" style="162" customWidth="1"/>
    <col min="715" max="730" width="4" style="162" customWidth="1"/>
    <col min="731" max="770" width="3.42578125" style="162" customWidth="1"/>
    <col min="771" max="961" width="7.42578125" style="162"/>
    <col min="962" max="962" width="1.42578125" style="162" customWidth="1"/>
    <col min="963" max="966" width="3.42578125" style="162" customWidth="1"/>
    <col min="967" max="970" width="5.42578125" style="162" customWidth="1"/>
    <col min="971" max="986" width="4" style="162" customWidth="1"/>
    <col min="987" max="1026" width="3.42578125" style="162" customWidth="1"/>
    <col min="1027" max="1217" width="7.42578125" style="162"/>
    <col min="1218" max="1218" width="1.42578125" style="162" customWidth="1"/>
    <col min="1219" max="1222" width="3.42578125" style="162" customWidth="1"/>
    <col min="1223" max="1226" width="5.42578125" style="162" customWidth="1"/>
    <col min="1227" max="1242" width="4" style="162" customWidth="1"/>
    <col min="1243" max="1282" width="3.42578125" style="162" customWidth="1"/>
    <col min="1283" max="1473" width="7.42578125" style="162"/>
    <col min="1474" max="1474" width="1.42578125" style="162" customWidth="1"/>
    <col min="1475" max="1478" width="3.42578125" style="162" customWidth="1"/>
    <col min="1479" max="1482" width="5.42578125" style="162" customWidth="1"/>
    <col min="1483" max="1498" width="4" style="162" customWidth="1"/>
    <col min="1499" max="1538" width="3.42578125" style="162" customWidth="1"/>
    <col min="1539" max="1729" width="7.42578125" style="162"/>
    <col min="1730" max="1730" width="1.42578125" style="162" customWidth="1"/>
    <col min="1731" max="1734" width="3.42578125" style="162" customWidth="1"/>
    <col min="1735" max="1738" width="5.42578125" style="162" customWidth="1"/>
    <col min="1739" max="1754" width="4" style="162" customWidth="1"/>
    <col min="1755" max="1794" width="3.42578125" style="162" customWidth="1"/>
    <col min="1795" max="1985" width="7.42578125" style="162"/>
    <col min="1986" max="1986" width="1.42578125" style="162" customWidth="1"/>
    <col min="1987" max="1990" width="3.42578125" style="162" customWidth="1"/>
    <col min="1991" max="1994" width="5.42578125" style="162" customWidth="1"/>
    <col min="1995" max="2010" width="4" style="162" customWidth="1"/>
    <col min="2011" max="2050" width="3.42578125" style="162" customWidth="1"/>
    <col min="2051" max="2241" width="7.42578125" style="162"/>
    <col min="2242" max="2242" width="1.42578125" style="162" customWidth="1"/>
    <col min="2243" max="2246" width="3.42578125" style="162" customWidth="1"/>
    <col min="2247" max="2250" width="5.42578125" style="162" customWidth="1"/>
    <col min="2251" max="2266" width="4" style="162" customWidth="1"/>
    <col min="2267" max="2306" width="3.42578125" style="162" customWidth="1"/>
    <col min="2307" max="2497" width="7.42578125" style="162"/>
    <col min="2498" max="2498" width="1.42578125" style="162" customWidth="1"/>
    <col min="2499" max="2502" width="3.42578125" style="162" customWidth="1"/>
    <col min="2503" max="2506" width="5.42578125" style="162" customWidth="1"/>
    <col min="2507" max="2522" width="4" style="162" customWidth="1"/>
    <col min="2523" max="2562" width="3.42578125" style="162" customWidth="1"/>
    <col min="2563" max="2753" width="7.42578125" style="162"/>
    <col min="2754" max="2754" width="1.42578125" style="162" customWidth="1"/>
    <col min="2755" max="2758" width="3.42578125" style="162" customWidth="1"/>
    <col min="2759" max="2762" width="5.42578125" style="162" customWidth="1"/>
    <col min="2763" max="2778" width="4" style="162" customWidth="1"/>
    <col min="2779" max="2818" width="3.42578125" style="162" customWidth="1"/>
    <col min="2819" max="3009" width="7.42578125" style="162"/>
    <col min="3010" max="3010" width="1.42578125" style="162" customWidth="1"/>
    <col min="3011" max="3014" width="3.42578125" style="162" customWidth="1"/>
    <col min="3015" max="3018" width="5.42578125" style="162" customWidth="1"/>
    <col min="3019" max="3034" width="4" style="162" customWidth="1"/>
    <col min="3035" max="3074" width="3.42578125" style="162" customWidth="1"/>
    <col min="3075" max="3265" width="7.42578125" style="162"/>
    <col min="3266" max="3266" width="1.42578125" style="162" customWidth="1"/>
    <col min="3267" max="3270" width="3.42578125" style="162" customWidth="1"/>
    <col min="3271" max="3274" width="5.42578125" style="162" customWidth="1"/>
    <col min="3275" max="3290" width="4" style="162" customWidth="1"/>
    <col min="3291" max="3330" width="3.42578125" style="162" customWidth="1"/>
    <col min="3331" max="3521" width="7.42578125" style="162"/>
    <col min="3522" max="3522" width="1.42578125" style="162" customWidth="1"/>
    <col min="3523" max="3526" width="3.42578125" style="162" customWidth="1"/>
    <col min="3527" max="3530" width="5.42578125" style="162" customWidth="1"/>
    <col min="3531" max="3546" width="4" style="162" customWidth="1"/>
    <col min="3547" max="3586" width="3.42578125" style="162" customWidth="1"/>
    <col min="3587" max="3777" width="7.42578125" style="162"/>
    <col min="3778" max="3778" width="1.42578125" style="162" customWidth="1"/>
    <col min="3779" max="3782" width="3.42578125" style="162" customWidth="1"/>
    <col min="3783" max="3786" width="5.42578125" style="162" customWidth="1"/>
    <col min="3787" max="3802" width="4" style="162" customWidth="1"/>
    <col min="3803" max="3842" width="3.42578125" style="162" customWidth="1"/>
    <col min="3843" max="4033" width="7.42578125" style="162"/>
    <col min="4034" max="4034" width="1.42578125" style="162" customWidth="1"/>
    <col min="4035" max="4038" width="3.42578125" style="162" customWidth="1"/>
    <col min="4039" max="4042" width="5.42578125" style="162" customWidth="1"/>
    <col min="4043" max="4058" width="4" style="162" customWidth="1"/>
    <col min="4059" max="4098" width="3.42578125" style="162" customWidth="1"/>
    <col min="4099" max="4289" width="7.42578125" style="162"/>
    <col min="4290" max="4290" width="1.42578125" style="162" customWidth="1"/>
    <col min="4291" max="4294" width="3.42578125" style="162" customWidth="1"/>
    <col min="4295" max="4298" width="5.42578125" style="162" customWidth="1"/>
    <col min="4299" max="4314" width="4" style="162" customWidth="1"/>
    <col min="4315" max="4354" width="3.42578125" style="162" customWidth="1"/>
    <col min="4355" max="4545" width="7.42578125" style="162"/>
    <col min="4546" max="4546" width="1.42578125" style="162" customWidth="1"/>
    <col min="4547" max="4550" width="3.42578125" style="162" customWidth="1"/>
    <col min="4551" max="4554" width="5.42578125" style="162" customWidth="1"/>
    <col min="4555" max="4570" width="4" style="162" customWidth="1"/>
    <col min="4571" max="4610" width="3.42578125" style="162" customWidth="1"/>
    <col min="4611" max="4801" width="7.42578125" style="162"/>
    <col min="4802" max="4802" width="1.42578125" style="162" customWidth="1"/>
    <col min="4803" max="4806" width="3.42578125" style="162" customWidth="1"/>
    <col min="4807" max="4810" width="5.42578125" style="162" customWidth="1"/>
    <col min="4811" max="4826" width="4" style="162" customWidth="1"/>
    <col min="4827" max="4866" width="3.42578125" style="162" customWidth="1"/>
    <col min="4867" max="5057" width="7.42578125" style="162"/>
    <col min="5058" max="5058" width="1.42578125" style="162" customWidth="1"/>
    <col min="5059" max="5062" width="3.42578125" style="162" customWidth="1"/>
    <col min="5063" max="5066" width="5.42578125" style="162" customWidth="1"/>
    <col min="5067" max="5082" width="4" style="162" customWidth="1"/>
    <col min="5083" max="5122" width="3.42578125" style="162" customWidth="1"/>
    <col min="5123" max="5313" width="7.42578125" style="162"/>
    <col min="5314" max="5314" width="1.42578125" style="162" customWidth="1"/>
    <col min="5315" max="5318" width="3.42578125" style="162" customWidth="1"/>
    <col min="5319" max="5322" width="5.42578125" style="162" customWidth="1"/>
    <col min="5323" max="5338" width="4" style="162" customWidth="1"/>
    <col min="5339" max="5378" width="3.42578125" style="162" customWidth="1"/>
    <col min="5379" max="5569" width="7.42578125" style="162"/>
    <col min="5570" max="5570" width="1.42578125" style="162" customWidth="1"/>
    <col min="5571" max="5574" width="3.42578125" style="162" customWidth="1"/>
    <col min="5575" max="5578" width="5.42578125" style="162" customWidth="1"/>
    <col min="5579" max="5594" width="4" style="162" customWidth="1"/>
    <col min="5595" max="5634" width="3.42578125" style="162" customWidth="1"/>
    <col min="5635" max="5825" width="7.42578125" style="162"/>
    <col min="5826" max="5826" width="1.42578125" style="162" customWidth="1"/>
    <col min="5827" max="5830" width="3.42578125" style="162" customWidth="1"/>
    <col min="5831" max="5834" width="5.42578125" style="162" customWidth="1"/>
    <col min="5835" max="5850" width="4" style="162" customWidth="1"/>
    <col min="5851" max="5890" width="3.42578125" style="162" customWidth="1"/>
    <col min="5891" max="6081" width="7.42578125" style="162"/>
    <col min="6082" max="6082" width="1.42578125" style="162" customWidth="1"/>
    <col min="6083" max="6086" width="3.42578125" style="162" customWidth="1"/>
    <col min="6087" max="6090" width="5.42578125" style="162" customWidth="1"/>
    <col min="6091" max="6106" width="4" style="162" customWidth="1"/>
    <col min="6107" max="6146" width="3.42578125" style="162" customWidth="1"/>
    <col min="6147" max="6337" width="7.42578125" style="162"/>
    <col min="6338" max="6338" width="1.42578125" style="162" customWidth="1"/>
    <col min="6339" max="6342" width="3.42578125" style="162" customWidth="1"/>
    <col min="6343" max="6346" width="5.42578125" style="162" customWidth="1"/>
    <col min="6347" max="6362" width="4" style="162" customWidth="1"/>
    <col min="6363" max="6402" width="3.42578125" style="162" customWidth="1"/>
    <col min="6403" max="6593" width="7.42578125" style="162"/>
    <col min="6594" max="6594" width="1.42578125" style="162" customWidth="1"/>
    <col min="6595" max="6598" width="3.42578125" style="162" customWidth="1"/>
    <col min="6599" max="6602" width="5.42578125" style="162" customWidth="1"/>
    <col min="6603" max="6618" width="4" style="162" customWidth="1"/>
    <col min="6619" max="6658" width="3.42578125" style="162" customWidth="1"/>
    <col min="6659" max="6849" width="7.42578125" style="162"/>
    <col min="6850" max="6850" width="1.42578125" style="162" customWidth="1"/>
    <col min="6851" max="6854" width="3.42578125" style="162" customWidth="1"/>
    <col min="6855" max="6858" width="5.42578125" style="162" customWidth="1"/>
    <col min="6859" max="6874" width="4" style="162" customWidth="1"/>
    <col min="6875" max="6914" width="3.42578125" style="162" customWidth="1"/>
    <col min="6915" max="7105" width="7.42578125" style="162"/>
    <col min="7106" max="7106" width="1.42578125" style="162" customWidth="1"/>
    <col min="7107" max="7110" width="3.42578125" style="162" customWidth="1"/>
    <col min="7111" max="7114" width="5.42578125" style="162" customWidth="1"/>
    <col min="7115" max="7130" width="4" style="162" customWidth="1"/>
    <col min="7131" max="7170" width="3.42578125" style="162" customWidth="1"/>
    <col min="7171" max="7361" width="7.42578125" style="162"/>
    <col min="7362" max="7362" width="1.42578125" style="162" customWidth="1"/>
    <col min="7363" max="7366" width="3.42578125" style="162" customWidth="1"/>
    <col min="7367" max="7370" width="5.42578125" style="162" customWidth="1"/>
    <col min="7371" max="7386" width="4" style="162" customWidth="1"/>
    <col min="7387" max="7426" width="3.42578125" style="162" customWidth="1"/>
    <col min="7427" max="7617" width="7.42578125" style="162"/>
    <col min="7618" max="7618" width="1.42578125" style="162" customWidth="1"/>
    <col min="7619" max="7622" width="3.42578125" style="162" customWidth="1"/>
    <col min="7623" max="7626" width="5.42578125" style="162" customWidth="1"/>
    <col min="7627" max="7642" width="4" style="162" customWidth="1"/>
    <col min="7643" max="7682" width="3.42578125" style="162" customWidth="1"/>
    <col min="7683" max="7873" width="7.42578125" style="162"/>
    <col min="7874" max="7874" width="1.42578125" style="162" customWidth="1"/>
    <col min="7875" max="7878" width="3.42578125" style="162" customWidth="1"/>
    <col min="7879" max="7882" width="5.42578125" style="162" customWidth="1"/>
    <col min="7883" max="7898" width="4" style="162" customWidth="1"/>
    <col min="7899" max="7938" width="3.42578125" style="162" customWidth="1"/>
    <col min="7939" max="8129" width="7.42578125" style="162"/>
    <col min="8130" max="8130" width="1.42578125" style="162" customWidth="1"/>
    <col min="8131" max="8134" width="3.42578125" style="162" customWidth="1"/>
    <col min="8135" max="8138" width="5.42578125" style="162" customWidth="1"/>
    <col min="8139" max="8154" width="4" style="162" customWidth="1"/>
    <col min="8155" max="8194" width="3.42578125" style="162" customWidth="1"/>
    <col min="8195" max="8385" width="7.42578125" style="162"/>
    <col min="8386" max="8386" width="1.42578125" style="162" customWidth="1"/>
    <col min="8387" max="8390" width="3.42578125" style="162" customWidth="1"/>
    <col min="8391" max="8394" width="5.42578125" style="162" customWidth="1"/>
    <col min="8395" max="8410" width="4" style="162" customWidth="1"/>
    <col min="8411" max="8450" width="3.42578125" style="162" customWidth="1"/>
    <col min="8451" max="8641" width="7.42578125" style="162"/>
    <col min="8642" max="8642" width="1.42578125" style="162" customWidth="1"/>
    <col min="8643" max="8646" width="3.42578125" style="162" customWidth="1"/>
    <col min="8647" max="8650" width="5.42578125" style="162" customWidth="1"/>
    <col min="8651" max="8666" width="4" style="162" customWidth="1"/>
    <col min="8667" max="8706" width="3.42578125" style="162" customWidth="1"/>
    <col min="8707" max="8897" width="7.42578125" style="162"/>
    <col min="8898" max="8898" width="1.42578125" style="162" customWidth="1"/>
    <col min="8899" max="8902" width="3.42578125" style="162" customWidth="1"/>
    <col min="8903" max="8906" width="5.42578125" style="162" customWidth="1"/>
    <col min="8907" max="8922" width="4" style="162" customWidth="1"/>
    <col min="8923" max="8962" width="3.42578125" style="162" customWidth="1"/>
    <col min="8963" max="9153" width="7.42578125" style="162"/>
    <col min="9154" max="9154" width="1.42578125" style="162" customWidth="1"/>
    <col min="9155" max="9158" width="3.42578125" style="162" customWidth="1"/>
    <col min="9159" max="9162" width="5.42578125" style="162" customWidth="1"/>
    <col min="9163" max="9178" width="4" style="162" customWidth="1"/>
    <col min="9179" max="9218" width="3.42578125" style="162" customWidth="1"/>
    <col min="9219" max="9409" width="7.42578125" style="162"/>
    <col min="9410" max="9410" width="1.42578125" style="162" customWidth="1"/>
    <col min="9411" max="9414" width="3.42578125" style="162" customWidth="1"/>
    <col min="9415" max="9418" width="5.42578125" style="162" customWidth="1"/>
    <col min="9419" max="9434" width="4" style="162" customWidth="1"/>
    <col min="9435" max="9474" width="3.42578125" style="162" customWidth="1"/>
    <col min="9475" max="9665" width="7.42578125" style="162"/>
    <col min="9666" max="9666" width="1.42578125" style="162" customWidth="1"/>
    <col min="9667" max="9670" width="3.42578125" style="162" customWidth="1"/>
    <col min="9671" max="9674" width="5.42578125" style="162" customWidth="1"/>
    <col min="9675" max="9690" width="4" style="162" customWidth="1"/>
    <col min="9691" max="9730" width="3.42578125" style="162" customWidth="1"/>
    <col min="9731" max="9921" width="7.42578125" style="162"/>
    <col min="9922" max="9922" width="1.42578125" style="162" customWidth="1"/>
    <col min="9923" max="9926" width="3.42578125" style="162" customWidth="1"/>
    <col min="9927" max="9930" width="5.42578125" style="162" customWidth="1"/>
    <col min="9931" max="9946" width="4" style="162" customWidth="1"/>
    <col min="9947" max="9986" width="3.42578125" style="162" customWidth="1"/>
    <col min="9987" max="10177" width="7.42578125" style="162"/>
    <col min="10178" max="10178" width="1.42578125" style="162" customWidth="1"/>
    <col min="10179" max="10182" width="3.42578125" style="162" customWidth="1"/>
    <col min="10183" max="10186" width="5.42578125" style="162" customWidth="1"/>
    <col min="10187" max="10202" width="4" style="162" customWidth="1"/>
    <col min="10203" max="10242" width="3.42578125" style="162" customWidth="1"/>
    <col min="10243" max="10433" width="7.42578125" style="162"/>
    <col min="10434" max="10434" width="1.42578125" style="162" customWidth="1"/>
    <col min="10435" max="10438" width="3.42578125" style="162" customWidth="1"/>
    <col min="10439" max="10442" width="5.42578125" style="162" customWidth="1"/>
    <col min="10443" max="10458" width="4" style="162" customWidth="1"/>
    <col min="10459" max="10498" width="3.42578125" style="162" customWidth="1"/>
    <col min="10499" max="10689" width="7.42578125" style="162"/>
    <col min="10690" max="10690" width="1.42578125" style="162" customWidth="1"/>
    <col min="10691" max="10694" width="3.42578125" style="162" customWidth="1"/>
    <col min="10695" max="10698" width="5.42578125" style="162" customWidth="1"/>
    <col min="10699" max="10714" width="4" style="162" customWidth="1"/>
    <col min="10715" max="10754" width="3.42578125" style="162" customWidth="1"/>
    <col min="10755" max="10945" width="7.42578125" style="162"/>
    <col min="10946" max="10946" width="1.42578125" style="162" customWidth="1"/>
    <col min="10947" max="10950" width="3.42578125" style="162" customWidth="1"/>
    <col min="10951" max="10954" width="5.42578125" style="162" customWidth="1"/>
    <col min="10955" max="10970" width="4" style="162" customWidth="1"/>
    <col min="10971" max="11010" width="3.42578125" style="162" customWidth="1"/>
    <col min="11011" max="11201" width="7.42578125" style="162"/>
    <col min="11202" max="11202" width="1.42578125" style="162" customWidth="1"/>
    <col min="11203" max="11206" width="3.42578125" style="162" customWidth="1"/>
    <col min="11207" max="11210" width="5.42578125" style="162" customWidth="1"/>
    <col min="11211" max="11226" width="4" style="162" customWidth="1"/>
    <col min="11227" max="11266" width="3.42578125" style="162" customWidth="1"/>
    <col min="11267" max="11457" width="7.42578125" style="162"/>
    <col min="11458" max="11458" width="1.42578125" style="162" customWidth="1"/>
    <col min="11459" max="11462" width="3.42578125" style="162" customWidth="1"/>
    <col min="11463" max="11466" width="5.42578125" style="162" customWidth="1"/>
    <col min="11467" max="11482" width="4" style="162" customWidth="1"/>
    <col min="11483" max="11522" width="3.42578125" style="162" customWidth="1"/>
    <col min="11523" max="11713" width="7.42578125" style="162"/>
    <col min="11714" max="11714" width="1.42578125" style="162" customWidth="1"/>
    <col min="11715" max="11718" width="3.42578125" style="162" customWidth="1"/>
    <col min="11719" max="11722" width="5.42578125" style="162" customWidth="1"/>
    <col min="11723" max="11738" width="4" style="162" customWidth="1"/>
    <col min="11739" max="11778" width="3.42578125" style="162" customWidth="1"/>
    <col min="11779" max="11969" width="7.42578125" style="162"/>
    <col min="11970" max="11970" width="1.42578125" style="162" customWidth="1"/>
    <col min="11971" max="11974" width="3.42578125" style="162" customWidth="1"/>
    <col min="11975" max="11978" width="5.42578125" style="162" customWidth="1"/>
    <col min="11979" max="11994" width="4" style="162" customWidth="1"/>
    <col min="11995" max="12034" width="3.42578125" style="162" customWidth="1"/>
    <col min="12035" max="12225" width="7.42578125" style="162"/>
    <col min="12226" max="12226" width="1.42578125" style="162" customWidth="1"/>
    <col min="12227" max="12230" width="3.42578125" style="162" customWidth="1"/>
    <col min="12231" max="12234" width="5.42578125" style="162" customWidth="1"/>
    <col min="12235" max="12250" width="4" style="162" customWidth="1"/>
    <col min="12251" max="12290" width="3.42578125" style="162" customWidth="1"/>
    <col min="12291" max="12481" width="7.42578125" style="162"/>
    <col min="12482" max="12482" width="1.42578125" style="162" customWidth="1"/>
    <col min="12483" max="12486" width="3.42578125" style="162" customWidth="1"/>
    <col min="12487" max="12490" width="5.42578125" style="162" customWidth="1"/>
    <col min="12491" max="12506" width="4" style="162" customWidth="1"/>
    <col min="12507" max="12546" width="3.42578125" style="162" customWidth="1"/>
    <col min="12547" max="12737" width="7.42578125" style="162"/>
    <col min="12738" max="12738" width="1.42578125" style="162" customWidth="1"/>
    <col min="12739" max="12742" width="3.42578125" style="162" customWidth="1"/>
    <col min="12743" max="12746" width="5.42578125" style="162" customWidth="1"/>
    <col min="12747" max="12762" width="4" style="162" customWidth="1"/>
    <col min="12763" max="12802" width="3.42578125" style="162" customWidth="1"/>
    <col min="12803" max="12993" width="7.42578125" style="162"/>
    <col min="12994" max="12994" width="1.42578125" style="162" customWidth="1"/>
    <col min="12995" max="12998" width="3.42578125" style="162" customWidth="1"/>
    <col min="12999" max="13002" width="5.42578125" style="162" customWidth="1"/>
    <col min="13003" max="13018" width="4" style="162" customWidth="1"/>
    <col min="13019" max="13058" width="3.42578125" style="162" customWidth="1"/>
    <col min="13059" max="13249" width="7.42578125" style="162"/>
    <col min="13250" max="13250" width="1.42578125" style="162" customWidth="1"/>
    <col min="13251" max="13254" width="3.42578125" style="162" customWidth="1"/>
    <col min="13255" max="13258" width="5.42578125" style="162" customWidth="1"/>
    <col min="13259" max="13274" width="4" style="162" customWidth="1"/>
    <col min="13275" max="13314" width="3.42578125" style="162" customWidth="1"/>
    <col min="13315" max="13505" width="7.42578125" style="162"/>
    <col min="13506" max="13506" width="1.42578125" style="162" customWidth="1"/>
    <col min="13507" max="13510" width="3.42578125" style="162" customWidth="1"/>
    <col min="13511" max="13514" width="5.42578125" style="162" customWidth="1"/>
    <col min="13515" max="13530" width="4" style="162" customWidth="1"/>
    <col min="13531" max="13570" width="3.42578125" style="162" customWidth="1"/>
    <col min="13571" max="13761" width="7.42578125" style="162"/>
    <col min="13762" max="13762" width="1.42578125" style="162" customWidth="1"/>
    <col min="13763" max="13766" width="3.42578125" style="162" customWidth="1"/>
    <col min="13767" max="13770" width="5.42578125" style="162" customWidth="1"/>
    <col min="13771" max="13786" width="4" style="162" customWidth="1"/>
    <col min="13787" max="13826" width="3.42578125" style="162" customWidth="1"/>
    <col min="13827" max="14017" width="7.42578125" style="162"/>
    <col min="14018" max="14018" width="1.42578125" style="162" customWidth="1"/>
    <col min="14019" max="14022" width="3.42578125" style="162" customWidth="1"/>
    <col min="14023" max="14026" width="5.42578125" style="162" customWidth="1"/>
    <col min="14027" max="14042" width="4" style="162" customWidth="1"/>
    <col min="14043" max="14082" width="3.42578125" style="162" customWidth="1"/>
    <col min="14083" max="14273" width="7.42578125" style="162"/>
    <col min="14274" max="14274" width="1.42578125" style="162" customWidth="1"/>
    <col min="14275" max="14278" width="3.42578125" style="162" customWidth="1"/>
    <col min="14279" max="14282" width="5.42578125" style="162" customWidth="1"/>
    <col min="14283" max="14298" width="4" style="162" customWidth="1"/>
    <col min="14299" max="14338" width="3.42578125" style="162" customWidth="1"/>
    <col min="14339" max="14529" width="7.42578125" style="162"/>
    <col min="14530" max="14530" width="1.42578125" style="162" customWidth="1"/>
    <col min="14531" max="14534" width="3.42578125" style="162" customWidth="1"/>
    <col min="14535" max="14538" width="5.42578125" style="162" customWidth="1"/>
    <col min="14539" max="14554" width="4" style="162" customWidth="1"/>
    <col min="14555" max="14594" width="3.42578125" style="162" customWidth="1"/>
    <col min="14595" max="14785" width="7.42578125" style="162"/>
    <col min="14786" max="14786" width="1.42578125" style="162" customWidth="1"/>
    <col min="14787" max="14790" width="3.42578125" style="162" customWidth="1"/>
    <col min="14791" max="14794" width="5.42578125" style="162" customWidth="1"/>
    <col min="14795" max="14810" width="4" style="162" customWidth="1"/>
    <col min="14811" max="14850" width="3.42578125" style="162" customWidth="1"/>
    <col min="14851" max="15041" width="7.42578125" style="162"/>
    <col min="15042" max="15042" width="1.42578125" style="162" customWidth="1"/>
    <col min="15043" max="15046" width="3.42578125" style="162" customWidth="1"/>
    <col min="15047" max="15050" width="5.42578125" style="162" customWidth="1"/>
    <col min="15051" max="15066" width="4" style="162" customWidth="1"/>
    <col min="15067" max="15106" width="3.42578125" style="162" customWidth="1"/>
    <col min="15107" max="15297" width="7.42578125" style="162"/>
    <col min="15298" max="15298" width="1.42578125" style="162" customWidth="1"/>
    <col min="15299" max="15302" width="3.42578125" style="162" customWidth="1"/>
    <col min="15303" max="15306" width="5.42578125" style="162" customWidth="1"/>
    <col min="15307" max="15322" width="4" style="162" customWidth="1"/>
    <col min="15323" max="15362" width="3.42578125" style="162" customWidth="1"/>
    <col min="15363" max="15553" width="7.42578125" style="162"/>
    <col min="15554" max="15554" width="1.42578125" style="162" customWidth="1"/>
    <col min="15555" max="15558" width="3.42578125" style="162" customWidth="1"/>
    <col min="15559" max="15562" width="5.42578125" style="162" customWidth="1"/>
    <col min="15563" max="15578" width="4" style="162" customWidth="1"/>
    <col min="15579" max="15618" width="3.42578125" style="162" customWidth="1"/>
    <col min="15619" max="15809" width="7.42578125" style="162"/>
    <col min="15810" max="15810" width="1.42578125" style="162" customWidth="1"/>
    <col min="15811" max="15814" width="3.42578125" style="162" customWidth="1"/>
    <col min="15815" max="15818" width="5.42578125" style="162" customWidth="1"/>
    <col min="15819" max="15834" width="4" style="162" customWidth="1"/>
    <col min="15835" max="15874" width="3.42578125" style="162" customWidth="1"/>
    <col min="15875" max="16065" width="7.42578125" style="162"/>
    <col min="16066" max="16066" width="1.42578125" style="162" customWidth="1"/>
    <col min="16067" max="16070" width="3.42578125" style="162" customWidth="1"/>
    <col min="16071" max="16074" width="5.42578125" style="162" customWidth="1"/>
    <col min="16075" max="16090" width="4" style="162" customWidth="1"/>
    <col min="16091" max="16130" width="3.42578125" style="162" customWidth="1"/>
    <col min="16131" max="16384" width="7.42578125" style="162"/>
  </cols>
  <sheetData>
    <row r="1" spans="2:42" ht="22.5" customHeight="1">
      <c r="B1" s="545" t="s">
        <v>58</v>
      </c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163" t="s">
        <v>81</v>
      </c>
      <c r="N1" s="163"/>
      <c r="O1" s="163"/>
      <c r="P1" s="163"/>
      <c r="R1" s="543" t="s">
        <v>105</v>
      </c>
      <c r="S1" s="543"/>
      <c r="T1" s="543"/>
      <c r="U1" s="543"/>
      <c r="V1" s="543"/>
      <c r="W1" s="543"/>
      <c r="X1" s="164"/>
      <c r="AB1" s="504" t="s">
        <v>112</v>
      </c>
      <c r="AC1" s="504"/>
      <c r="AD1" s="359">
        <v>1</v>
      </c>
      <c r="AE1" s="225" t="s">
        <v>82</v>
      </c>
      <c r="AF1" s="359">
        <v>2</v>
      </c>
      <c r="AG1" s="165"/>
      <c r="AH1" s="165"/>
      <c r="AI1" s="170"/>
    </row>
    <row r="2" spans="2:42" ht="22.5" customHeight="1">
      <c r="B2" s="545"/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164" t="s">
        <v>83</v>
      </c>
      <c r="N2" s="163"/>
      <c r="O2" s="164"/>
      <c r="P2" s="163"/>
      <c r="Q2" s="544">
        <v>42370</v>
      </c>
      <c r="R2" s="544"/>
      <c r="S2" s="544"/>
      <c r="T2" s="544"/>
      <c r="U2" s="164" t="s">
        <v>84</v>
      </c>
      <c r="W2" s="163"/>
      <c r="X2" s="167"/>
      <c r="Y2" s="167"/>
      <c r="Z2" s="544">
        <v>42371</v>
      </c>
      <c r="AA2" s="544"/>
      <c r="AB2" s="544"/>
      <c r="AC2" s="544"/>
      <c r="AD2" s="353"/>
      <c r="AE2" s="167"/>
      <c r="AF2" s="165"/>
      <c r="AG2" s="165"/>
      <c r="AH2" s="165"/>
      <c r="AI2" s="170"/>
      <c r="AK2" s="20"/>
    </row>
    <row r="3" spans="2:42" ht="22.5" customHeight="1">
      <c r="B3" s="546" t="s">
        <v>85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163" t="s">
        <v>310</v>
      </c>
      <c r="N3" s="163"/>
      <c r="O3" s="163"/>
      <c r="P3" s="163"/>
      <c r="Q3" s="163"/>
      <c r="S3" s="553">
        <v>20</v>
      </c>
      <c r="T3" s="553"/>
      <c r="U3" s="168" t="s">
        <v>86</v>
      </c>
      <c r="V3" s="552">
        <v>50</v>
      </c>
      <c r="W3" s="552"/>
      <c r="X3" s="169" t="s">
        <v>87</v>
      </c>
      <c r="Y3" s="163"/>
      <c r="Z3" s="163"/>
      <c r="AA3" s="163"/>
      <c r="AB3" s="163"/>
      <c r="AC3" s="163"/>
      <c r="AD3" s="163"/>
      <c r="AE3" s="163"/>
    </row>
    <row r="4" spans="2:42" ht="22.5" customHeight="1">
      <c r="B4" s="547" t="s">
        <v>101</v>
      </c>
      <c r="C4" s="547"/>
      <c r="D4" s="547"/>
      <c r="E4" s="547"/>
      <c r="F4" s="547"/>
      <c r="G4" s="547"/>
      <c r="H4" s="547"/>
      <c r="I4" s="547"/>
      <c r="J4" s="547"/>
      <c r="K4" s="547"/>
      <c r="L4" s="547"/>
      <c r="M4" s="163" t="s">
        <v>59</v>
      </c>
      <c r="N4" s="163"/>
      <c r="O4" s="163"/>
      <c r="P4" s="163"/>
      <c r="Q4" s="163"/>
      <c r="R4" s="163" t="s">
        <v>88</v>
      </c>
      <c r="S4" s="163"/>
      <c r="T4" s="163"/>
      <c r="U4" s="163"/>
      <c r="V4" s="163"/>
      <c r="W4" s="163"/>
      <c r="X4" s="163"/>
      <c r="Y4" s="163"/>
      <c r="Z4" s="163" t="s">
        <v>89</v>
      </c>
      <c r="AA4" s="163"/>
      <c r="AB4" s="163"/>
      <c r="AC4" s="163"/>
      <c r="AD4" s="163"/>
      <c r="AE4" s="163"/>
      <c r="AF4" s="166"/>
      <c r="AG4" s="166"/>
      <c r="AH4" s="166"/>
      <c r="AI4" s="170"/>
      <c r="AK4" s="20"/>
    </row>
    <row r="5" spans="2:42" s="170" customFormat="1" ht="22.5" customHeight="1">
      <c r="B5" s="171" t="s">
        <v>90</v>
      </c>
      <c r="C5" s="158"/>
      <c r="D5" s="158"/>
      <c r="E5" s="357"/>
      <c r="F5" s="357"/>
      <c r="G5" s="548" t="s">
        <v>106</v>
      </c>
      <c r="H5" s="548"/>
      <c r="I5" s="548"/>
      <c r="J5" s="548"/>
      <c r="K5" s="548"/>
      <c r="L5" s="548"/>
      <c r="M5" s="548"/>
      <c r="N5" s="548"/>
      <c r="O5" s="548"/>
      <c r="P5" s="548"/>
      <c r="Q5" s="548"/>
      <c r="R5" s="548"/>
      <c r="S5" s="548"/>
      <c r="T5" s="548"/>
      <c r="U5" s="548"/>
      <c r="V5" s="548"/>
      <c r="W5" s="548"/>
      <c r="X5" s="548"/>
      <c r="Y5" s="548"/>
      <c r="Z5" s="548"/>
      <c r="AA5" s="548"/>
      <c r="AB5" s="548"/>
      <c r="AC5" s="548"/>
      <c r="AD5" s="548"/>
      <c r="AE5" s="157"/>
      <c r="AK5" s="20"/>
    </row>
    <row r="6" spans="2:42" s="170" customFormat="1" ht="22.5" customHeight="1">
      <c r="B6" s="171" t="s">
        <v>60</v>
      </c>
      <c r="C6" s="158"/>
      <c r="D6" s="158"/>
      <c r="E6" s="357"/>
      <c r="F6" s="357"/>
      <c r="G6" s="548" t="s">
        <v>101</v>
      </c>
      <c r="H6" s="548"/>
      <c r="I6" s="548"/>
      <c r="J6" s="548"/>
      <c r="K6" s="548"/>
      <c r="L6" s="548"/>
      <c r="M6" s="548"/>
      <c r="N6" s="548"/>
      <c r="O6" s="333" t="s">
        <v>91</v>
      </c>
      <c r="P6" s="172"/>
      <c r="R6" s="333"/>
      <c r="S6" s="549" t="s">
        <v>107</v>
      </c>
      <c r="T6" s="549"/>
      <c r="U6" s="549"/>
      <c r="V6" s="549"/>
      <c r="W6" s="549"/>
      <c r="X6" s="172" t="s">
        <v>61</v>
      </c>
      <c r="Y6" s="172"/>
      <c r="Z6" s="550"/>
      <c r="AA6" s="550"/>
      <c r="AB6" s="550"/>
      <c r="AC6" s="550"/>
      <c r="AD6" s="550"/>
      <c r="AE6" s="157"/>
      <c r="AI6" s="180"/>
      <c r="AJ6" s="180"/>
      <c r="AK6" s="20"/>
    </row>
    <row r="7" spans="2:42" s="170" customFormat="1" ht="22.5" customHeight="1">
      <c r="B7" s="542" t="s">
        <v>92</v>
      </c>
      <c r="C7" s="542"/>
      <c r="D7" s="542"/>
      <c r="E7" s="551" t="s">
        <v>108</v>
      </c>
      <c r="F7" s="551"/>
      <c r="G7" s="551"/>
      <c r="H7" s="551"/>
      <c r="I7" s="551"/>
      <c r="J7" s="542" t="s">
        <v>154</v>
      </c>
      <c r="K7" s="542"/>
      <c r="L7" s="551"/>
      <c r="M7" s="551"/>
      <c r="N7" s="551"/>
      <c r="O7" s="551"/>
      <c r="P7" s="354"/>
      <c r="Q7" s="354"/>
      <c r="R7" s="354"/>
      <c r="S7" s="354"/>
      <c r="T7" s="354"/>
      <c r="U7" s="354"/>
      <c r="V7" s="354"/>
      <c r="W7" s="354"/>
      <c r="X7" s="355"/>
      <c r="Y7" s="355"/>
      <c r="Z7" s="172"/>
      <c r="AA7" s="172"/>
      <c r="AB7" s="172"/>
      <c r="AC7" s="172"/>
      <c r="AD7" s="172"/>
      <c r="AE7" s="157"/>
      <c r="AF7" s="173"/>
      <c r="AG7" s="173"/>
      <c r="AI7" s="180"/>
      <c r="AJ7" s="180"/>
      <c r="AK7" s="20"/>
    </row>
    <row r="8" spans="2:42" s="170" customFormat="1" ht="22.5" customHeight="1">
      <c r="B8" s="174" t="s">
        <v>93</v>
      </c>
      <c r="C8" s="157"/>
      <c r="D8" s="158"/>
      <c r="E8" s="526">
        <v>0</v>
      </c>
      <c r="F8" s="526"/>
      <c r="G8" s="357" t="s">
        <v>94</v>
      </c>
      <c r="H8" s="526">
        <v>25</v>
      </c>
      <c r="I8" s="526"/>
      <c r="J8" s="358" t="s">
        <v>10</v>
      </c>
      <c r="K8" s="247"/>
      <c r="L8" s="247"/>
      <c r="M8" s="556" t="s">
        <v>95</v>
      </c>
      <c r="N8" s="556"/>
      <c r="O8" s="556"/>
      <c r="P8" s="558">
        <v>1E-3</v>
      </c>
      <c r="Q8" s="558"/>
      <c r="R8" s="171" t="s">
        <v>10</v>
      </c>
      <c r="S8" s="171"/>
      <c r="T8" s="247"/>
      <c r="U8" s="357"/>
      <c r="V8" s="356"/>
      <c r="W8" s="356"/>
      <c r="X8" s="355"/>
      <c r="Y8" s="171"/>
      <c r="Z8" s="171"/>
      <c r="AA8" s="171"/>
      <c r="AB8" s="171"/>
      <c r="AC8" s="171"/>
      <c r="AD8" s="171"/>
      <c r="AE8" s="157"/>
      <c r="AI8" s="180"/>
      <c r="AJ8" s="180"/>
      <c r="AK8" s="20"/>
    </row>
    <row r="9" spans="2:42" s="170" customFormat="1" ht="22.5" customHeight="1">
      <c r="B9" s="175" t="s">
        <v>96</v>
      </c>
      <c r="C9" s="175"/>
      <c r="D9" s="175"/>
      <c r="E9" s="175"/>
      <c r="F9" s="175"/>
      <c r="G9" s="175"/>
      <c r="H9" s="175"/>
      <c r="I9" s="175" t="s">
        <v>97</v>
      </c>
      <c r="J9" s="247"/>
      <c r="K9" s="248"/>
      <c r="L9" s="247"/>
      <c r="M9" s="175" t="s">
        <v>98</v>
      </c>
      <c r="N9" s="247"/>
      <c r="O9" s="175"/>
      <c r="P9" s="548"/>
      <c r="Q9" s="548"/>
      <c r="R9" s="548"/>
      <c r="S9" s="548"/>
      <c r="T9" s="548"/>
      <c r="U9" s="548"/>
      <c r="V9" s="548"/>
      <c r="W9" s="548"/>
      <c r="X9" s="548"/>
      <c r="Y9" s="548"/>
      <c r="Z9" s="548"/>
      <c r="AA9" s="548"/>
      <c r="AB9" s="548"/>
      <c r="AC9" s="548"/>
      <c r="AD9" s="548"/>
      <c r="AE9" s="157"/>
      <c r="AF9" s="173"/>
      <c r="AG9" s="173"/>
      <c r="AI9" s="180"/>
      <c r="AJ9" s="180"/>
      <c r="AK9" s="20"/>
    </row>
    <row r="10" spans="2:42" s="170" customFormat="1" ht="9.9499999999999993" customHeight="1">
      <c r="B10" s="160"/>
      <c r="C10" s="160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7"/>
      <c r="AC10" s="157"/>
      <c r="AD10" s="157"/>
      <c r="AE10" s="157"/>
      <c r="AF10" s="173"/>
      <c r="AG10" s="173"/>
      <c r="AI10" s="180"/>
      <c r="AJ10" s="180"/>
      <c r="AK10" s="20"/>
    </row>
    <row r="11" spans="2:42" s="170" customFormat="1" ht="20.100000000000001" customHeight="1">
      <c r="B11" s="174" t="s">
        <v>62</v>
      </c>
      <c r="C11" s="174"/>
      <c r="D11" s="174"/>
      <c r="E11" s="174"/>
      <c r="F11" s="174"/>
      <c r="G11" s="174"/>
      <c r="H11" s="557"/>
      <c r="I11" s="557"/>
      <c r="J11" s="557"/>
      <c r="K11" s="557"/>
      <c r="L11" s="557"/>
      <c r="M11" s="557"/>
      <c r="N11" s="557"/>
      <c r="O11" s="557"/>
      <c r="P11" s="557"/>
      <c r="Q11" s="157"/>
      <c r="R11" s="171"/>
      <c r="S11" s="176" t="s">
        <v>99</v>
      </c>
      <c r="T11" s="176"/>
      <c r="U11" s="563"/>
      <c r="V11" s="563"/>
      <c r="W11" s="563"/>
      <c r="X11" s="563"/>
      <c r="Y11" s="563"/>
      <c r="Z11" s="563"/>
      <c r="AA11" s="563"/>
      <c r="AB11" s="563"/>
      <c r="AC11" s="563"/>
      <c r="AD11" s="563"/>
      <c r="AE11" s="157"/>
      <c r="AF11" s="177"/>
      <c r="AG11" s="177"/>
      <c r="AI11" s="180"/>
      <c r="AJ11" s="180"/>
      <c r="AK11" s="20"/>
    </row>
    <row r="12" spans="2:42" s="170" customFormat="1" ht="9.9499999999999993" customHeight="1">
      <c r="X12" s="178"/>
      <c r="Y12" s="178"/>
      <c r="Z12" s="178"/>
      <c r="AE12" s="179"/>
      <c r="AI12" s="91"/>
      <c r="AJ12" s="91"/>
      <c r="AK12" s="182"/>
      <c r="AL12" s="181"/>
      <c r="AM12" s="183"/>
      <c r="AN12" s="183"/>
      <c r="AO12" s="183"/>
      <c r="AP12" s="183"/>
    </row>
    <row r="13" spans="2:42" s="170" customFormat="1" ht="15" customHeight="1">
      <c r="B13" s="154"/>
      <c r="C13" s="148" t="s">
        <v>63</v>
      </c>
      <c r="D13" s="143"/>
      <c r="E13" s="143"/>
      <c r="F13" s="143"/>
      <c r="G13" s="143"/>
      <c r="H13" s="143"/>
      <c r="I13" s="143"/>
      <c r="J13" s="143"/>
      <c r="K13" s="143"/>
      <c r="L13" s="554"/>
      <c r="M13" s="554"/>
      <c r="N13" s="555"/>
      <c r="O13" s="555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83"/>
      <c r="AO13" s="183"/>
      <c r="AP13" s="183"/>
    </row>
    <row r="14" spans="2:42" ht="19.5" customHeight="1">
      <c r="B14" s="154"/>
      <c r="C14" s="529" t="s">
        <v>64</v>
      </c>
      <c r="D14" s="529"/>
      <c r="E14" s="529"/>
      <c r="F14" s="529"/>
      <c r="G14" s="529"/>
      <c r="H14" s="529"/>
      <c r="I14" s="529"/>
      <c r="J14" s="529" t="s">
        <v>155</v>
      </c>
      <c r="K14" s="529"/>
      <c r="L14" s="529"/>
      <c r="M14" s="529"/>
      <c r="N14" s="529"/>
      <c r="O14" s="529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83"/>
      <c r="AO14" s="183"/>
      <c r="AP14" s="183"/>
    </row>
    <row r="15" spans="2:42" ht="19.5" customHeight="1">
      <c r="B15" s="154"/>
      <c r="C15" s="530" t="s">
        <v>65</v>
      </c>
      <c r="D15" s="530"/>
      <c r="E15" s="530"/>
      <c r="F15" s="530"/>
      <c r="G15" s="530"/>
      <c r="H15" s="530"/>
      <c r="I15" s="530"/>
      <c r="J15" s="531">
        <v>0.3</v>
      </c>
      <c r="K15" s="532"/>
      <c r="L15" s="532"/>
      <c r="M15" s="532"/>
      <c r="N15" s="532"/>
      <c r="O15" s="533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83"/>
      <c r="AO15" s="183"/>
      <c r="AP15" s="183"/>
    </row>
    <row r="16" spans="2:42" ht="19.5" customHeight="1">
      <c r="B16" s="154"/>
      <c r="C16" s="534" t="s">
        <v>66</v>
      </c>
      <c r="D16" s="534"/>
      <c r="E16" s="534"/>
      <c r="F16" s="534"/>
      <c r="G16" s="534"/>
      <c r="H16" s="534"/>
      <c r="I16" s="534"/>
      <c r="J16" s="535">
        <v>0</v>
      </c>
      <c r="K16" s="536"/>
      <c r="L16" s="536"/>
      <c r="M16" s="536"/>
      <c r="N16" s="536"/>
      <c r="O16" s="537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</row>
    <row r="17" spans="2:39" ht="15" customHeight="1">
      <c r="B17" s="154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</row>
    <row r="18" spans="2:39" ht="15" customHeight="1">
      <c r="B18" s="151"/>
      <c r="C18" s="194" t="s">
        <v>67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</row>
    <row r="19" spans="2:39" ht="15" customHeight="1">
      <c r="B19" s="152"/>
      <c r="C19" s="193"/>
      <c r="D19" s="189" t="s">
        <v>68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</row>
    <row r="20" spans="2:39" ht="19.5" customHeight="1">
      <c r="B20" s="151"/>
      <c r="C20" s="461" t="s">
        <v>153</v>
      </c>
      <c r="D20" s="462"/>
      <c r="E20" s="462"/>
      <c r="F20" s="462"/>
      <c r="G20" s="462"/>
      <c r="H20" s="461" t="s">
        <v>148</v>
      </c>
      <c r="I20" s="462"/>
      <c r="J20" s="462"/>
      <c r="K20" s="462"/>
      <c r="L20" s="462"/>
      <c r="M20" s="463"/>
      <c r="N20" s="522" t="s">
        <v>150</v>
      </c>
      <c r="O20" s="522"/>
      <c r="P20" s="522"/>
      <c r="Q20" s="522"/>
      <c r="R20" s="522"/>
      <c r="S20" s="461" t="s">
        <v>69</v>
      </c>
      <c r="T20" s="462"/>
      <c r="U20" s="463"/>
      <c r="W20" s="223" t="s">
        <v>102</v>
      </c>
      <c r="X20" s="224"/>
      <c r="Y20" s="224"/>
      <c r="Z20" s="152"/>
      <c r="AA20" s="152"/>
      <c r="AB20" s="159"/>
      <c r="AC20" s="159"/>
      <c r="AD20" s="159"/>
    </row>
    <row r="21" spans="2:39" ht="19.5" customHeight="1">
      <c r="B21" s="151"/>
      <c r="C21" s="454" t="s">
        <v>152</v>
      </c>
      <c r="D21" s="455"/>
      <c r="E21" s="455"/>
      <c r="F21" s="455"/>
      <c r="G21" s="455"/>
      <c r="H21" s="464" t="s">
        <v>149</v>
      </c>
      <c r="I21" s="465"/>
      <c r="J21" s="465"/>
      <c r="K21" s="465"/>
      <c r="L21" s="465"/>
      <c r="M21" s="466"/>
      <c r="N21" s="523"/>
      <c r="O21" s="523"/>
      <c r="P21" s="523"/>
      <c r="Q21" s="523"/>
      <c r="R21" s="523"/>
      <c r="S21" s="454"/>
      <c r="T21" s="455"/>
      <c r="U21" s="467"/>
      <c r="W21" s="223"/>
      <c r="X21" s="224"/>
      <c r="Y21" s="224"/>
      <c r="Z21" s="152"/>
      <c r="AA21" s="152"/>
      <c r="AB21" s="159"/>
      <c r="AC21" s="159"/>
      <c r="AD21" s="159"/>
    </row>
    <row r="22" spans="2:39" ht="19.5" customHeight="1">
      <c r="B22" s="151"/>
      <c r="C22" s="464" t="s">
        <v>70</v>
      </c>
      <c r="D22" s="465"/>
      <c r="E22" s="465"/>
      <c r="F22" s="465"/>
      <c r="G22" s="465"/>
      <c r="H22" s="450" t="s">
        <v>151</v>
      </c>
      <c r="I22" s="487"/>
      <c r="J22" s="488"/>
      <c r="K22" s="461" t="s">
        <v>145</v>
      </c>
      <c r="L22" s="462"/>
      <c r="M22" s="463"/>
      <c r="N22" s="568" t="s">
        <v>71</v>
      </c>
      <c r="O22" s="568"/>
      <c r="P22" s="568"/>
      <c r="Q22" s="568"/>
      <c r="R22" s="568"/>
      <c r="S22" s="464"/>
      <c r="T22" s="465"/>
      <c r="U22" s="466"/>
      <c r="W22" s="223" t="s">
        <v>72</v>
      </c>
      <c r="X22" s="223"/>
      <c r="Y22" s="223"/>
      <c r="Z22" s="223"/>
      <c r="AA22" s="152"/>
      <c r="AB22" s="159"/>
      <c r="AC22" s="159"/>
      <c r="AD22" s="159"/>
    </row>
    <row r="23" spans="2:39" ht="19.5" customHeight="1">
      <c r="B23" s="151"/>
      <c r="C23" s="539">
        <v>12</v>
      </c>
      <c r="D23" s="505"/>
      <c r="E23" s="505"/>
      <c r="F23" s="505"/>
      <c r="G23" s="506"/>
      <c r="H23" s="471">
        <v>1</v>
      </c>
      <c r="I23" s="472"/>
      <c r="J23" s="473"/>
      <c r="K23" s="471">
        <v>2</v>
      </c>
      <c r="L23" s="472"/>
      <c r="M23" s="473"/>
      <c r="N23" s="184"/>
      <c r="O23" s="327" t="s">
        <v>54</v>
      </c>
      <c r="P23" s="559">
        <f>(H23+K23)*0.3</f>
        <v>0.89999999999999991</v>
      </c>
      <c r="Q23" s="559"/>
      <c r="R23" s="560"/>
      <c r="S23" s="184"/>
      <c r="T23" s="352"/>
      <c r="U23" s="185"/>
      <c r="W23" s="223" t="s">
        <v>73</v>
      </c>
      <c r="X23" s="223"/>
      <c r="Y23" s="223"/>
      <c r="Z23" s="223"/>
      <c r="AA23" s="152"/>
      <c r="AB23" s="159"/>
      <c r="AC23" s="159"/>
      <c r="AD23" s="159"/>
    </row>
    <row r="24" spans="2:39" ht="19.5" customHeight="1">
      <c r="B24" s="151"/>
      <c r="C24" s="540">
        <v>12.12</v>
      </c>
      <c r="D24" s="456"/>
      <c r="E24" s="456"/>
      <c r="F24" s="456"/>
      <c r="G24" s="457"/>
      <c r="H24" s="474">
        <v>1</v>
      </c>
      <c r="I24" s="475"/>
      <c r="J24" s="476"/>
      <c r="K24" s="474">
        <v>2</v>
      </c>
      <c r="L24" s="475"/>
      <c r="M24" s="476"/>
      <c r="N24" s="329"/>
      <c r="O24" s="330" t="s">
        <v>54</v>
      </c>
      <c r="P24" s="561">
        <f>(H24+K24)*0.3</f>
        <v>0.89999999999999991</v>
      </c>
      <c r="Q24" s="561"/>
      <c r="R24" s="562"/>
      <c r="S24" s="538" t="str">
        <f>+O24</f>
        <v>≤</v>
      </c>
      <c r="T24" s="566">
        <f>MAX(P23:P26)</f>
        <v>0.89999999999999991</v>
      </c>
      <c r="U24" s="567"/>
      <c r="W24" s="223" t="s">
        <v>103</v>
      </c>
      <c r="X24" s="223"/>
      <c r="Y24" s="223"/>
      <c r="Z24" s="223"/>
      <c r="AA24" s="152"/>
      <c r="AB24" s="159"/>
      <c r="AC24" s="159"/>
      <c r="AD24" s="159"/>
    </row>
    <row r="25" spans="2:39" ht="19.5" customHeight="1">
      <c r="B25" s="151"/>
      <c r="C25" s="540">
        <v>12.25</v>
      </c>
      <c r="D25" s="456"/>
      <c r="E25" s="456"/>
      <c r="F25" s="456"/>
      <c r="G25" s="457"/>
      <c r="H25" s="474">
        <v>1</v>
      </c>
      <c r="I25" s="475"/>
      <c r="J25" s="476"/>
      <c r="K25" s="474">
        <v>2</v>
      </c>
      <c r="L25" s="475"/>
      <c r="M25" s="476"/>
      <c r="N25" s="329"/>
      <c r="O25" s="330" t="s">
        <v>54</v>
      </c>
      <c r="P25" s="561">
        <f>(H25+K25)*0.3</f>
        <v>0.89999999999999991</v>
      </c>
      <c r="Q25" s="561"/>
      <c r="R25" s="562"/>
      <c r="S25" s="538"/>
      <c r="T25" s="566"/>
      <c r="U25" s="567"/>
      <c r="W25" s="223" t="s">
        <v>104</v>
      </c>
      <c r="X25" s="224"/>
      <c r="Y25" s="224"/>
      <c r="Z25" s="224"/>
      <c r="AA25" s="152"/>
      <c r="AB25" s="159"/>
      <c r="AC25" s="159"/>
      <c r="AD25" s="159"/>
    </row>
    <row r="26" spans="2:39" ht="19.5" customHeight="1">
      <c r="B26" s="151"/>
      <c r="C26" s="525">
        <v>12.37</v>
      </c>
      <c r="D26" s="485"/>
      <c r="E26" s="485"/>
      <c r="F26" s="485"/>
      <c r="G26" s="486"/>
      <c r="H26" s="458">
        <v>1</v>
      </c>
      <c r="I26" s="459"/>
      <c r="J26" s="460"/>
      <c r="K26" s="458">
        <v>2</v>
      </c>
      <c r="L26" s="459"/>
      <c r="M26" s="460"/>
      <c r="N26" s="186"/>
      <c r="O26" s="328" t="s">
        <v>54</v>
      </c>
      <c r="P26" s="564">
        <f>(H26+K26)*0.3</f>
        <v>0.89999999999999991</v>
      </c>
      <c r="Q26" s="564"/>
      <c r="R26" s="565"/>
      <c r="S26" s="351"/>
      <c r="T26" s="250"/>
      <c r="U26" s="187"/>
      <c r="V26" s="195"/>
      <c r="W26" s="195"/>
      <c r="X26" s="195"/>
      <c r="Y26" s="193"/>
      <c r="Z26" s="193"/>
      <c r="AA26" s="193"/>
      <c r="AB26" s="190"/>
      <c r="AC26" s="159"/>
      <c r="AD26" s="159"/>
    </row>
    <row r="27" spans="2:39" ht="15" customHeight="1">
      <c r="B27" s="150"/>
      <c r="C27" s="197"/>
      <c r="D27" s="197"/>
      <c r="E27" s="197"/>
      <c r="F27" s="197"/>
      <c r="G27" s="197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</row>
    <row r="28" spans="2:39" ht="15" customHeight="1">
      <c r="B28" s="152"/>
      <c r="C28" s="189"/>
      <c r="D28" s="189" t="s">
        <v>74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9"/>
      <c r="S28" s="179"/>
      <c r="T28" s="179"/>
      <c r="U28" s="189"/>
      <c r="V28" s="195"/>
      <c r="W28" s="195"/>
      <c r="X28" s="193"/>
      <c r="Y28" s="193"/>
      <c r="Z28" s="190"/>
      <c r="AA28" s="190"/>
      <c r="AB28" s="190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</row>
    <row r="29" spans="2:39" ht="19.5" customHeight="1">
      <c r="B29" s="151"/>
      <c r="C29" s="461" t="s">
        <v>153</v>
      </c>
      <c r="D29" s="462"/>
      <c r="E29" s="462"/>
      <c r="F29" s="462"/>
      <c r="G29" s="462"/>
      <c r="H29" s="461" t="s">
        <v>146</v>
      </c>
      <c r="I29" s="462"/>
      <c r="J29" s="462"/>
      <c r="K29" s="462"/>
      <c r="L29" s="463"/>
      <c r="M29" s="461" t="s">
        <v>148</v>
      </c>
      <c r="N29" s="462"/>
      <c r="O29" s="462"/>
      <c r="P29" s="462"/>
      <c r="Q29" s="462"/>
      <c r="R29" s="463"/>
      <c r="S29" s="522" t="s">
        <v>150</v>
      </c>
      <c r="T29" s="522"/>
      <c r="U29" s="522"/>
      <c r="V29" s="522"/>
      <c r="W29" s="522"/>
      <c r="X29" s="450" t="s">
        <v>69</v>
      </c>
      <c r="Y29" s="451"/>
      <c r="Z29" s="451"/>
      <c r="AA29" s="451"/>
      <c r="AB29" s="452"/>
    </row>
    <row r="30" spans="2:39" ht="19.5" customHeight="1">
      <c r="B30" s="151"/>
      <c r="C30" s="454" t="s">
        <v>152</v>
      </c>
      <c r="D30" s="455"/>
      <c r="E30" s="455"/>
      <c r="F30" s="455"/>
      <c r="G30" s="455"/>
      <c r="H30" s="454" t="s">
        <v>147</v>
      </c>
      <c r="I30" s="455"/>
      <c r="J30" s="455"/>
      <c r="K30" s="455"/>
      <c r="L30" s="467"/>
      <c r="M30" s="464" t="s">
        <v>149</v>
      </c>
      <c r="N30" s="465"/>
      <c r="O30" s="465"/>
      <c r="P30" s="465"/>
      <c r="Q30" s="465"/>
      <c r="R30" s="466"/>
      <c r="S30" s="523"/>
      <c r="T30" s="523"/>
      <c r="U30" s="523"/>
      <c r="V30" s="523"/>
      <c r="W30" s="523"/>
      <c r="X30" s="453"/>
      <c r="Y30" s="451"/>
      <c r="Z30" s="451"/>
      <c r="AA30" s="451"/>
      <c r="AB30" s="452"/>
    </row>
    <row r="31" spans="2:39" ht="19.5" customHeight="1">
      <c r="B31" s="151"/>
      <c r="C31" s="464" t="s">
        <v>70</v>
      </c>
      <c r="D31" s="465"/>
      <c r="E31" s="465"/>
      <c r="F31" s="465"/>
      <c r="G31" s="465"/>
      <c r="H31" s="464" t="s">
        <v>70</v>
      </c>
      <c r="I31" s="465"/>
      <c r="J31" s="465"/>
      <c r="K31" s="465"/>
      <c r="L31" s="466"/>
      <c r="M31" s="450" t="s">
        <v>151</v>
      </c>
      <c r="N31" s="487"/>
      <c r="O31" s="488"/>
      <c r="P31" s="461" t="s">
        <v>145</v>
      </c>
      <c r="Q31" s="462"/>
      <c r="R31" s="463"/>
      <c r="S31" s="464" t="s">
        <v>71</v>
      </c>
      <c r="T31" s="465"/>
      <c r="U31" s="465"/>
      <c r="V31" s="485"/>
      <c r="W31" s="486"/>
      <c r="X31" s="453"/>
      <c r="Y31" s="451"/>
      <c r="Z31" s="451"/>
      <c r="AA31" s="451"/>
      <c r="AB31" s="452"/>
    </row>
    <row r="32" spans="2:39" ht="19.5" customHeight="1">
      <c r="B32" s="149"/>
      <c r="C32" s="477" t="s">
        <v>75</v>
      </c>
      <c r="D32" s="477"/>
      <c r="E32" s="477"/>
      <c r="F32" s="477"/>
      <c r="G32" s="477"/>
      <c r="H32" s="461"/>
      <c r="I32" s="462"/>
      <c r="J32" s="462"/>
      <c r="K32" s="462"/>
      <c r="L32" s="463"/>
      <c r="M32" s="471">
        <v>1</v>
      </c>
      <c r="N32" s="472"/>
      <c r="O32" s="473"/>
      <c r="P32" s="471">
        <v>2</v>
      </c>
      <c r="Q32" s="472"/>
      <c r="R32" s="473"/>
      <c r="S32" s="461">
        <f>(M32+P32)*0.3</f>
        <v>0.89999999999999991</v>
      </c>
      <c r="T32" s="462"/>
      <c r="U32" s="462"/>
      <c r="V32" s="505"/>
      <c r="W32" s="506"/>
      <c r="X32" s="199"/>
      <c r="Y32" s="200"/>
      <c r="Z32" s="200"/>
      <c r="AA32" s="200"/>
      <c r="AB32" s="201"/>
    </row>
    <row r="33" spans="2:39" ht="19.5" customHeight="1">
      <c r="B33" s="149"/>
      <c r="C33" s="477" t="s">
        <v>76</v>
      </c>
      <c r="D33" s="477"/>
      <c r="E33" s="477"/>
      <c r="F33" s="477"/>
      <c r="G33" s="477"/>
      <c r="H33" s="454"/>
      <c r="I33" s="455"/>
      <c r="J33" s="455"/>
      <c r="K33" s="455"/>
      <c r="L33" s="467"/>
      <c r="M33" s="474">
        <v>1</v>
      </c>
      <c r="N33" s="475"/>
      <c r="O33" s="476"/>
      <c r="P33" s="474">
        <v>2</v>
      </c>
      <c r="Q33" s="475"/>
      <c r="R33" s="476"/>
      <c r="S33" s="454">
        <f>(M33+P33)*0.3</f>
        <v>0.89999999999999991</v>
      </c>
      <c r="T33" s="455"/>
      <c r="U33" s="455"/>
      <c r="V33" s="456"/>
      <c r="W33" s="457"/>
      <c r="X33" s="202"/>
      <c r="Y33" s="331" t="s">
        <v>54</v>
      </c>
      <c r="Z33" s="331">
        <f>MAX(S32:S34)</f>
        <v>0.89999999999999991</v>
      </c>
      <c r="AA33" s="203"/>
      <c r="AB33" s="204"/>
    </row>
    <row r="34" spans="2:39" ht="19.5" customHeight="1">
      <c r="B34" s="149"/>
      <c r="C34" s="524" t="s">
        <v>77</v>
      </c>
      <c r="D34" s="524"/>
      <c r="E34" s="524"/>
      <c r="F34" s="524"/>
      <c r="G34" s="524"/>
      <c r="H34" s="464"/>
      <c r="I34" s="465"/>
      <c r="J34" s="465"/>
      <c r="K34" s="465"/>
      <c r="L34" s="466"/>
      <c r="M34" s="458">
        <v>1</v>
      </c>
      <c r="N34" s="459"/>
      <c r="O34" s="460"/>
      <c r="P34" s="458">
        <v>2</v>
      </c>
      <c r="Q34" s="459"/>
      <c r="R34" s="460"/>
      <c r="S34" s="464">
        <f>(M34+P34)*0.3</f>
        <v>0.89999999999999991</v>
      </c>
      <c r="T34" s="465"/>
      <c r="U34" s="465"/>
      <c r="V34" s="485"/>
      <c r="W34" s="486"/>
      <c r="X34" s="205"/>
      <c r="Y34" s="206"/>
      <c r="Z34" s="207"/>
      <c r="AA34" s="207"/>
      <c r="AB34" s="208"/>
    </row>
    <row r="35" spans="2:39" ht="15" customHeight="1">
      <c r="B35" s="149"/>
      <c r="C35" s="209"/>
      <c r="D35" s="209"/>
      <c r="E35" s="209"/>
      <c r="F35" s="209"/>
      <c r="G35" s="209"/>
      <c r="H35" s="219"/>
      <c r="I35" s="219"/>
      <c r="J35" s="219"/>
      <c r="K35" s="219"/>
      <c r="L35" s="210"/>
      <c r="M35" s="210"/>
      <c r="N35" s="210"/>
      <c r="O35" s="210"/>
      <c r="P35" s="219"/>
      <c r="Q35" s="219"/>
      <c r="R35" s="219"/>
      <c r="S35" s="211"/>
      <c r="T35" s="211"/>
      <c r="U35" s="203"/>
      <c r="V35" s="203"/>
      <c r="W35" s="212"/>
      <c r="X35" s="212"/>
      <c r="Y35" s="212"/>
      <c r="Z35" s="190"/>
      <c r="AA35" s="190"/>
      <c r="AB35" s="190"/>
      <c r="AC35" s="159"/>
      <c r="AD35" s="159"/>
      <c r="AE35" s="159"/>
      <c r="AF35" s="159"/>
      <c r="AG35" s="159"/>
      <c r="AH35" s="159"/>
    </row>
    <row r="36" spans="2:39" ht="15" customHeight="1">
      <c r="B36" s="149"/>
      <c r="C36" s="209"/>
      <c r="D36" s="209"/>
      <c r="E36" s="209"/>
      <c r="F36" s="209"/>
      <c r="G36" s="209"/>
      <c r="H36" s="219"/>
      <c r="I36" s="219"/>
      <c r="J36" s="219"/>
      <c r="K36" s="219"/>
      <c r="L36" s="210"/>
      <c r="M36" s="210"/>
      <c r="N36" s="210"/>
      <c r="O36" s="210"/>
      <c r="P36" s="219"/>
      <c r="Q36" s="219"/>
      <c r="R36" s="219"/>
      <c r="S36" s="211"/>
      <c r="T36" s="211"/>
      <c r="U36" s="203"/>
      <c r="V36" s="203"/>
      <c r="W36" s="212"/>
      <c r="X36" s="212"/>
      <c r="Y36" s="212"/>
      <c r="Z36" s="190"/>
      <c r="AA36" s="190"/>
      <c r="AB36" s="190"/>
      <c r="AC36" s="159"/>
      <c r="AD36" s="159"/>
      <c r="AE36" s="159"/>
      <c r="AF36" s="159"/>
      <c r="AG36" s="159"/>
      <c r="AH36" s="159"/>
    </row>
    <row r="37" spans="2:39" ht="15" customHeight="1">
      <c r="B37" s="149"/>
      <c r="C37" s="209"/>
      <c r="D37" s="209"/>
      <c r="E37" s="209"/>
      <c r="F37" s="209"/>
      <c r="G37" s="209"/>
      <c r="H37" s="219"/>
      <c r="I37" s="219"/>
      <c r="J37" s="219"/>
      <c r="K37" s="219"/>
      <c r="L37" s="210"/>
      <c r="M37" s="210"/>
      <c r="N37" s="210"/>
      <c r="O37" s="210"/>
      <c r="P37" s="219"/>
      <c r="Q37" s="219"/>
      <c r="R37" s="219"/>
      <c r="S37" s="211"/>
      <c r="T37" s="211"/>
      <c r="U37" s="203"/>
      <c r="V37" s="203"/>
      <c r="W37" s="212"/>
      <c r="X37" s="212"/>
      <c r="Y37" s="212"/>
      <c r="Z37" s="190"/>
      <c r="AA37" s="190"/>
      <c r="AB37" s="190"/>
      <c r="AC37" s="159"/>
      <c r="AD37" s="159"/>
      <c r="AE37" s="159"/>
      <c r="AF37" s="159"/>
      <c r="AG37" s="159"/>
      <c r="AH37" s="159"/>
    </row>
    <row r="38" spans="2:39" ht="15" customHeight="1">
      <c r="B38" s="149"/>
      <c r="C38" s="209"/>
      <c r="D38" s="209"/>
      <c r="E38" s="209"/>
      <c r="F38" s="209"/>
      <c r="G38" s="209"/>
      <c r="H38" s="219"/>
      <c r="I38" s="219"/>
      <c r="J38" s="219"/>
      <c r="K38" s="210"/>
      <c r="L38" s="210"/>
      <c r="M38" s="210"/>
      <c r="N38" s="210"/>
      <c r="O38" s="219"/>
      <c r="P38" s="219"/>
      <c r="Q38" s="219"/>
      <c r="R38" s="211"/>
      <c r="S38" s="211"/>
      <c r="T38" s="212"/>
      <c r="U38" s="212"/>
      <c r="V38" s="212"/>
      <c r="W38" s="212"/>
      <c r="X38" s="212"/>
      <c r="Y38" s="504" t="s">
        <v>112</v>
      </c>
      <c r="Z38" s="504"/>
      <c r="AA38" s="225">
        <v>2</v>
      </c>
      <c r="AB38" s="225" t="s">
        <v>82</v>
      </c>
      <c r="AC38" s="225">
        <v>2</v>
      </c>
      <c r="AD38" s="164"/>
      <c r="AE38" s="159"/>
      <c r="AF38" s="159"/>
      <c r="AG38" s="159"/>
      <c r="AH38" s="159"/>
      <c r="AI38" s="159"/>
      <c r="AJ38" s="159"/>
      <c r="AK38" s="159"/>
      <c r="AL38" s="159"/>
      <c r="AM38" s="159"/>
    </row>
    <row r="39" spans="2:39" ht="20.100000000000001" customHeight="1">
      <c r="B39" s="159"/>
      <c r="C39" s="213" t="s">
        <v>78</v>
      </c>
      <c r="D39" s="214"/>
      <c r="E39" s="214"/>
      <c r="F39" s="214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</row>
    <row r="40" spans="2:39" ht="21" customHeight="1">
      <c r="B40" s="159"/>
      <c r="C40" s="541" t="s">
        <v>123</v>
      </c>
      <c r="D40" s="462"/>
      <c r="E40" s="462"/>
      <c r="F40" s="450" t="s">
        <v>23</v>
      </c>
      <c r="G40" s="487"/>
      <c r="H40" s="487"/>
      <c r="I40" s="487"/>
      <c r="J40" s="487"/>
      <c r="K40" s="487"/>
      <c r="L40" s="487"/>
      <c r="M40" s="487"/>
      <c r="N40" s="487"/>
      <c r="O40" s="487"/>
      <c r="P40" s="487"/>
      <c r="Q40" s="488"/>
      <c r="R40" s="461" t="s">
        <v>21</v>
      </c>
      <c r="S40" s="462"/>
      <c r="T40" s="463"/>
      <c r="U40" s="489" t="s">
        <v>2</v>
      </c>
      <c r="V40" s="490"/>
      <c r="W40" s="490"/>
      <c r="X40" s="491"/>
      <c r="Y40" s="511" t="s">
        <v>22</v>
      </c>
      <c r="Z40" s="512"/>
      <c r="AA40" s="513"/>
      <c r="AH40" s="159"/>
      <c r="AI40" s="528"/>
      <c r="AJ40" s="528"/>
      <c r="AK40" s="528"/>
      <c r="AL40" s="528"/>
    </row>
    <row r="41" spans="2:39" ht="21" customHeight="1">
      <c r="B41" s="159"/>
      <c r="C41" s="464"/>
      <c r="D41" s="465"/>
      <c r="E41" s="465"/>
      <c r="F41" s="450" t="s">
        <v>118</v>
      </c>
      <c r="G41" s="487"/>
      <c r="H41" s="488"/>
      <c r="I41" s="450" t="s">
        <v>119</v>
      </c>
      <c r="J41" s="487"/>
      <c r="K41" s="488"/>
      <c r="L41" s="450" t="s">
        <v>120</v>
      </c>
      <c r="M41" s="487"/>
      <c r="N41" s="488"/>
      <c r="O41" s="450" t="s">
        <v>121</v>
      </c>
      <c r="P41" s="487"/>
      <c r="Q41" s="488"/>
      <c r="R41" s="464"/>
      <c r="S41" s="465"/>
      <c r="T41" s="466"/>
      <c r="U41" s="492"/>
      <c r="V41" s="493"/>
      <c r="W41" s="493"/>
      <c r="X41" s="494"/>
      <c r="Y41" s="514"/>
      <c r="Z41" s="515"/>
      <c r="AA41" s="516"/>
      <c r="AH41" s="159"/>
      <c r="AI41" s="527"/>
      <c r="AJ41" s="527"/>
      <c r="AK41" s="180"/>
      <c r="AL41" s="180"/>
    </row>
    <row r="42" spans="2:39" ht="21" customHeight="1">
      <c r="B42" s="159"/>
      <c r="C42" s="508">
        <v>0</v>
      </c>
      <c r="D42" s="509"/>
      <c r="E42" s="510"/>
      <c r="F42" s="519">
        <v>0</v>
      </c>
      <c r="G42" s="520"/>
      <c r="H42" s="521"/>
      <c r="I42" s="429">
        <v>0</v>
      </c>
      <c r="J42" s="430"/>
      <c r="K42" s="431"/>
      <c r="L42" s="429">
        <v>0</v>
      </c>
      <c r="M42" s="430"/>
      <c r="N42" s="431"/>
      <c r="O42" s="429">
        <v>0</v>
      </c>
      <c r="P42" s="430"/>
      <c r="Q42" s="431"/>
      <c r="R42" s="444">
        <f>AVERAGE(F42:Q42)</f>
        <v>0</v>
      </c>
      <c r="S42" s="445"/>
      <c r="T42" s="446"/>
      <c r="U42" s="468">
        <f>STDEV(F42:Q42)/SQRT(4)</f>
        <v>0</v>
      </c>
      <c r="V42" s="469"/>
      <c r="W42" s="469"/>
      <c r="X42" s="470"/>
      <c r="Y42" s="517">
        <f>R42-C42</f>
        <v>0</v>
      </c>
      <c r="Z42" s="478"/>
      <c r="AA42" s="518"/>
      <c r="AH42" s="159"/>
      <c r="AI42" s="507"/>
      <c r="AJ42" s="507"/>
      <c r="AK42" s="180"/>
      <c r="AL42" s="180"/>
    </row>
    <row r="43" spans="2:39" ht="21" customHeight="1">
      <c r="B43" s="159"/>
      <c r="C43" s="441">
        <v>2.5</v>
      </c>
      <c r="D43" s="442"/>
      <c r="E43" s="443"/>
      <c r="F43" s="429">
        <v>2.5</v>
      </c>
      <c r="G43" s="430"/>
      <c r="H43" s="431"/>
      <c r="I43" s="429">
        <v>2.5</v>
      </c>
      <c r="J43" s="430"/>
      <c r="K43" s="431"/>
      <c r="L43" s="429">
        <v>2.5001000000000002</v>
      </c>
      <c r="M43" s="430"/>
      <c r="N43" s="431"/>
      <c r="O43" s="429">
        <v>2.5</v>
      </c>
      <c r="P43" s="430"/>
      <c r="Q43" s="431"/>
      <c r="R43" s="435">
        <f>AVERAGE(F43:Q43)</f>
        <v>2.5000249999999999</v>
      </c>
      <c r="S43" s="436"/>
      <c r="T43" s="437"/>
      <c r="U43" s="432">
        <f t="shared" ref="U43:U52" si="0">STDEV(F43:Q43)/SQRT(4)</f>
        <v>2.5000000000052761E-5</v>
      </c>
      <c r="V43" s="433"/>
      <c r="W43" s="433"/>
      <c r="X43" s="434"/>
      <c r="Y43" s="447">
        <f>R43-C43</f>
        <v>2.4999999999941735E-5</v>
      </c>
      <c r="Z43" s="448"/>
      <c r="AA43" s="449"/>
      <c r="AH43" s="159"/>
      <c r="AI43" s="507"/>
      <c r="AJ43" s="507"/>
      <c r="AK43" s="180"/>
      <c r="AL43" s="180"/>
    </row>
    <row r="44" spans="2:39" ht="21" customHeight="1">
      <c r="B44" s="159"/>
      <c r="C44" s="441">
        <v>5.0999999999999996</v>
      </c>
      <c r="D44" s="442"/>
      <c r="E44" s="443"/>
      <c r="F44" s="429">
        <v>5.0999999999999996</v>
      </c>
      <c r="G44" s="430"/>
      <c r="H44" s="431"/>
      <c r="I44" s="429">
        <v>5.0999999999999996</v>
      </c>
      <c r="J44" s="430"/>
      <c r="K44" s="431"/>
      <c r="L44" s="429">
        <v>5.0999999999999996</v>
      </c>
      <c r="M44" s="430"/>
      <c r="N44" s="431"/>
      <c r="O44" s="429">
        <v>5.0999999999999996</v>
      </c>
      <c r="P44" s="430"/>
      <c r="Q44" s="431"/>
      <c r="R44" s="435">
        <f t="shared" ref="R44:R52" si="1">AVERAGE(F44:Q44)</f>
        <v>5.0999999999999996</v>
      </c>
      <c r="S44" s="436"/>
      <c r="T44" s="437"/>
      <c r="U44" s="432">
        <f t="shared" si="0"/>
        <v>0</v>
      </c>
      <c r="V44" s="433"/>
      <c r="W44" s="433"/>
      <c r="X44" s="434"/>
      <c r="Y44" s="447">
        <f t="shared" ref="Y44:Y52" si="2">R44-C44</f>
        <v>0</v>
      </c>
      <c r="Z44" s="448"/>
      <c r="AA44" s="449"/>
      <c r="AH44" s="159"/>
      <c r="AI44" s="507"/>
      <c r="AJ44" s="507"/>
      <c r="AK44" s="180"/>
      <c r="AL44" s="180"/>
    </row>
    <row r="45" spans="2:39" ht="21" customHeight="1">
      <c r="B45" s="159"/>
      <c r="C45" s="441">
        <v>7.7</v>
      </c>
      <c r="D45" s="442"/>
      <c r="E45" s="443"/>
      <c r="F45" s="429">
        <v>7.7</v>
      </c>
      <c r="G45" s="430"/>
      <c r="H45" s="431"/>
      <c r="I45" s="429">
        <v>7.7</v>
      </c>
      <c r="J45" s="430"/>
      <c r="K45" s="431"/>
      <c r="L45" s="429">
        <v>7.7</v>
      </c>
      <c r="M45" s="430"/>
      <c r="N45" s="431"/>
      <c r="O45" s="429">
        <v>7.7</v>
      </c>
      <c r="P45" s="430"/>
      <c r="Q45" s="431"/>
      <c r="R45" s="435">
        <f>AVERAGE(F45:Q45)</f>
        <v>7.7</v>
      </c>
      <c r="S45" s="436"/>
      <c r="T45" s="437"/>
      <c r="U45" s="432">
        <f t="shared" si="0"/>
        <v>0</v>
      </c>
      <c r="V45" s="433"/>
      <c r="W45" s="433"/>
      <c r="X45" s="434"/>
      <c r="Y45" s="447">
        <f t="shared" si="2"/>
        <v>0</v>
      </c>
      <c r="Z45" s="448"/>
      <c r="AA45" s="449"/>
      <c r="AH45" s="159"/>
      <c r="AI45" s="507"/>
      <c r="AJ45" s="507"/>
      <c r="AK45" s="180"/>
      <c r="AL45" s="180"/>
    </row>
    <row r="46" spans="2:39" ht="21" customHeight="1">
      <c r="B46" s="159"/>
      <c r="C46" s="441">
        <v>10.3</v>
      </c>
      <c r="D46" s="442"/>
      <c r="E46" s="443"/>
      <c r="F46" s="429">
        <v>10.3</v>
      </c>
      <c r="G46" s="430"/>
      <c r="H46" s="431"/>
      <c r="I46" s="429">
        <v>10.3</v>
      </c>
      <c r="J46" s="430"/>
      <c r="K46" s="431"/>
      <c r="L46" s="429">
        <v>10.3</v>
      </c>
      <c r="M46" s="430"/>
      <c r="N46" s="431"/>
      <c r="O46" s="429">
        <v>10.3</v>
      </c>
      <c r="P46" s="430"/>
      <c r="Q46" s="431"/>
      <c r="R46" s="482">
        <f t="shared" si="1"/>
        <v>10.3</v>
      </c>
      <c r="S46" s="483"/>
      <c r="T46" s="484"/>
      <c r="U46" s="432">
        <f t="shared" si="0"/>
        <v>0</v>
      </c>
      <c r="V46" s="433"/>
      <c r="W46" s="433"/>
      <c r="X46" s="434"/>
      <c r="Y46" s="447">
        <f t="shared" si="2"/>
        <v>0</v>
      </c>
      <c r="Z46" s="448"/>
      <c r="AA46" s="449"/>
      <c r="AH46" s="159"/>
      <c r="AI46" s="507"/>
      <c r="AJ46" s="507"/>
      <c r="AK46" s="180"/>
      <c r="AL46" s="180"/>
    </row>
    <row r="47" spans="2:39" ht="21" customHeight="1">
      <c r="B47" s="159"/>
      <c r="C47" s="441">
        <v>12.9</v>
      </c>
      <c r="D47" s="442"/>
      <c r="E47" s="443"/>
      <c r="F47" s="429">
        <v>12.9</v>
      </c>
      <c r="G47" s="430"/>
      <c r="H47" s="431"/>
      <c r="I47" s="429">
        <v>12.9</v>
      </c>
      <c r="J47" s="430"/>
      <c r="K47" s="431"/>
      <c r="L47" s="429">
        <v>12.9</v>
      </c>
      <c r="M47" s="430"/>
      <c r="N47" s="431"/>
      <c r="O47" s="429">
        <v>12.9</v>
      </c>
      <c r="P47" s="430"/>
      <c r="Q47" s="431"/>
      <c r="R47" s="435">
        <f>AVERAGE(F47:Q47)</f>
        <v>12.9</v>
      </c>
      <c r="S47" s="436"/>
      <c r="T47" s="437"/>
      <c r="U47" s="432">
        <f t="shared" si="0"/>
        <v>0</v>
      </c>
      <c r="V47" s="433"/>
      <c r="W47" s="433"/>
      <c r="X47" s="434"/>
      <c r="Y47" s="447">
        <f t="shared" si="2"/>
        <v>0</v>
      </c>
      <c r="Z47" s="448"/>
      <c r="AA47" s="449"/>
      <c r="AH47" s="159"/>
      <c r="AI47" s="507"/>
      <c r="AJ47" s="507"/>
      <c r="AK47" s="180"/>
      <c r="AL47" s="180"/>
    </row>
    <row r="48" spans="2:39" ht="21" customHeight="1">
      <c r="B48" s="159"/>
      <c r="C48" s="441">
        <v>15</v>
      </c>
      <c r="D48" s="442"/>
      <c r="E48" s="443"/>
      <c r="F48" s="429">
        <v>15</v>
      </c>
      <c r="G48" s="430"/>
      <c r="H48" s="431"/>
      <c r="I48" s="429">
        <v>15</v>
      </c>
      <c r="J48" s="430"/>
      <c r="K48" s="431"/>
      <c r="L48" s="429">
        <v>15</v>
      </c>
      <c r="M48" s="430"/>
      <c r="N48" s="431"/>
      <c r="O48" s="429">
        <v>15</v>
      </c>
      <c r="P48" s="430"/>
      <c r="Q48" s="431"/>
      <c r="R48" s="435">
        <f t="shared" si="1"/>
        <v>15</v>
      </c>
      <c r="S48" s="436"/>
      <c r="T48" s="437"/>
      <c r="U48" s="432">
        <f t="shared" si="0"/>
        <v>0</v>
      </c>
      <c r="V48" s="433"/>
      <c r="W48" s="433"/>
      <c r="X48" s="434"/>
      <c r="Y48" s="447">
        <f t="shared" si="2"/>
        <v>0</v>
      </c>
      <c r="Z48" s="448"/>
      <c r="AA48" s="449"/>
      <c r="AH48" s="159"/>
      <c r="AI48" s="507"/>
      <c r="AJ48" s="507"/>
      <c r="AK48" s="180"/>
      <c r="AL48" s="180"/>
    </row>
    <row r="49" spans="2:39" ht="21" customHeight="1">
      <c r="B49" s="159"/>
      <c r="C49" s="441">
        <v>17.600000000000001</v>
      </c>
      <c r="D49" s="442"/>
      <c r="E49" s="443"/>
      <c r="F49" s="429">
        <v>17.600000000000001</v>
      </c>
      <c r="G49" s="430"/>
      <c r="H49" s="431"/>
      <c r="I49" s="429">
        <v>17.600000000000001</v>
      </c>
      <c r="J49" s="430"/>
      <c r="K49" s="431"/>
      <c r="L49" s="429">
        <v>17.600000000000001</v>
      </c>
      <c r="M49" s="430"/>
      <c r="N49" s="431"/>
      <c r="O49" s="429">
        <v>17.600000000000001</v>
      </c>
      <c r="P49" s="430"/>
      <c r="Q49" s="431"/>
      <c r="R49" s="435">
        <f t="shared" si="1"/>
        <v>17.600000000000001</v>
      </c>
      <c r="S49" s="436"/>
      <c r="T49" s="437"/>
      <c r="U49" s="432">
        <f t="shared" si="0"/>
        <v>0</v>
      </c>
      <c r="V49" s="433"/>
      <c r="W49" s="433"/>
      <c r="X49" s="434"/>
      <c r="Y49" s="447">
        <f t="shared" si="2"/>
        <v>0</v>
      </c>
      <c r="Z49" s="448"/>
      <c r="AA49" s="449"/>
      <c r="AH49" s="159"/>
      <c r="AI49" s="507"/>
      <c r="AJ49" s="507"/>
      <c r="AK49" s="180"/>
      <c r="AL49" s="180"/>
    </row>
    <row r="50" spans="2:39" ht="21" customHeight="1">
      <c r="B50" s="159"/>
      <c r="C50" s="441">
        <v>20.2</v>
      </c>
      <c r="D50" s="442"/>
      <c r="E50" s="443"/>
      <c r="F50" s="429">
        <v>20.2</v>
      </c>
      <c r="G50" s="430"/>
      <c r="H50" s="431"/>
      <c r="I50" s="429">
        <v>20.2</v>
      </c>
      <c r="J50" s="430"/>
      <c r="K50" s="431"/>
      <c r="L50" s="429">
        <v>20.2</v>
      </c>
      <c r="M50" s="430"/>
      <c r="N50" s="431"/>
      <c r="O50" s="429">
        <v>20.2</v>
      </c>
      <c r="P50" s="430"/>
      <c r="Q50" s="431"/>
      <c r="R50" s="435">
        <f t="shared" si="1"/>
        <v>20.2</v>
      </c>
      <c r="S50" s="436"/>
      <c r="T50" s="437"/>
      <c r="U50" s="432">
        <f t="shared" si="0"/>
        <v>0</v>
      </c>
      <c r="V50" s="433"/>
      <c r="W50" s="433"/>
      <c r="X50" s="434"/>
      <c r="Y50" s="447">
        <f t="shared" si="2"/>
        <v>0</v>
      </c>
      <c r="Z50" s="448"/>
      <c r="AA50" s="449"/>
      <c r="AH50" s="159"/>
      <c r="AI50" s="507"/>
      <c r="AJ50" s="507"/>
      <c r="AK50" s="180"/>
      <c r="AL50" s="180"/>
    </row>
    <row r="51" spans="2:39" ht="21" customHeight="1">
      <c r="B51" s="159"/>
      <c r="C51" s="441">
        <v>22.8</v>
      </c>
      <c r="D51" s="442"/>
      <c r="E51" s="443"/>
      <c r="F51" s="429">
        <v>22.8</v>
      </c>
      <c r="G51" s="430"/>
      <c r="H51" s="431"/>
      <c r="I51" s="429">
        <v>22.8</v>
      </c>
      <c r="J51" s="430"/>
      <c r="K51" s="431"/>
      <c r="L51" s="429">
        <v>22.8</v>
      </c>
      <c r="M51" s="430"/>
      <c r="N51" s="431"/>
      <c r="O51" s="429">
        <v>22.8</v>
      </c>
      <c r="P51" s="430"/>
      <c r="Q51" s="431"/>
      <c r="R51" s="435">
        <f t="shared" si="1"/>
        <v>22.8</v>
      </c>
      <c r="S51" s="436"/>
      <c r="T51" s="437"/>
      <c r="U51" s="432">
        <f t="shared" si="0"/>
        <v>0</v>
      </c>
      <c r="V51" s="433"/>
      <c r="W51" s="433"/>
      <c r="X51" s="434"/>
      <c r="Y51" s="447">
        <f t="shared" si="2"/>
        <v>0</v>
      </c>
      <c r="Z51" s="448"/>
      <c r="AA51" s="449"/>
      <c r="AH51" s="159"/>
      <c r="AI51" s="507"/>
      <c r="AJ51" s="507"/>
      <c r="AK51" s="180"/>
      <c r="AL51" s="180"/>
    </row>
    <row r="52" spans="2:39" ht="21" customHeight="1">
      <c r="B52" s="159"/>
      <c r="C52" s="438">
        <v>25</v>
      </c>
      <c r="D52" s="439"/>
      <c r="E52" s="440"/>
      <c r="F52" s="498">
        <v>25</v>
      </c>
      <c r="G52" s="499"/>
      <c r="H52" s="500"/>
      <c r="I52" s="498">
        <v>25</v>
      </c>
      <c r="J52" s="499"/>
      <c r="K52" s="500"/>
      <c r="L52" s="498">
        <v>25</v>
      </c>
      <c r="M52" s="499"/>
      <c r="N52" s="500"/>
      <c r="O52" s="498">
        <v>25</v>
      </c>
      <c r="P52" s="499"/>
      <c r="Q52" s="500"/>
      <c r="R52" s="479">
        <f t="shared" si="1"/>
        <v>25</v>
      </c>
      <c r="S52" s="480"/>
      <c r="T52" s="481"/>
      <c r="U52" s="501">
        <f t="shared" si="0"/>
        <v>0</v>
      </c>
      <c r="V52" s="502"/>
      <c r="W52" s="502"/>
      <c r="X52" s="503"/>
      <c r="Y52" s="495">
        <f t="shared" si="2"/>
        <v>0</v>
      </c>
      <c r="Z52" s="496"/>
      <c r="AA52" s="497"/>
      <c r="AH52" s="159"/>
      <c r="AI52" s="507"/>
      <c r="AJ52" s="507"/>
      <c r="AK52" s="180"/>
      <c r="AL52" s="180"/>
    </row>
    <row r="53" spans="2:39" ht="20.100000000000001" customHeight="1">
      <c r="C53" s="215"/>
      <c r="D53" s="216"/>
      <c r="E53" s="215"/>
      <c r="F53" s="217"/>
      <c r="G53" s="218"/>
      <c r="H53" s="218"/>
      <c r="I53" s="478"/>
      <c r="J53" s="478"/>
      <c r="K53" s="478"/>
      <c r="L53" s="478"/>
      <c r="M53" s="478"/>
      <c r="N53" s="478"/>
      <c r="O53" s="478"/>
      <c r="P53" s="478"/>
      <c r="Q53" s="478"/>
      <c r="R53" s="478"/>
      <c r="S53" s="478"/>
      <c r="T53" s="478"/>
      <c r="U53" s="478"/>
      <c r="V53" s="478"/>
      <c r="W53" s="478"/>
      <c r="X53" s="448"/>
      <c r="Y53" s="189"/>
      <c r="Z53" s="189"/>
      <c r="AA53" s="189"/>
      <c r="AB53" s="189"/>
      <c r="AC53" s="150"/>
      <c r="AD53" s="150"/>
      <c r="AE53" s="150"/>
      <c r="AF53" s="150"/>
      <c r="AG53" s="150"/>
      <c r="AH53" s="150"/>
      <c r="AI53" s="159"/>
      <c r="AJ53" s="159"/>
      <c r="AK53" s="159"/>
      <c r="AL53" s="159"/>
      <c r="AM53" s="159"/>
    </row>
    <row r="54" spans="2:39" ht="20.100000000000001" customHeight="1">
      <c r="C54" s="215"/>
      <c r="D54" s="216"/>
      <c r="E54" s="215"/>
      <c r="F54" s="217"/>
      <c r="G54" s="217"/>
      <c r="H54" s="217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189"/>
      <c r="Z54" s="189"/>
      <c r="AA54" s="189"/>
      <c r="AB54" s="189"/>
      <c r="AC54" s="150"/>
      <c r="AD54" s="150"/>
      <c r="AE54" s="150"/>
      <c r="AF54" s="150"/>
      <c r="AG54" s="150"/>
      <c r="AH54" s="150"/>
      <c r="AI54" s="159"/>
      <c r="AJ54" s="159"/>
      <c r="AK54" s="159"/>
      <c r="AL54" s="159"/>
      <c r="AM54" s="159"/>
    </row>
    <row r="55" spans="2:39" ht="20.100000000000001" customHeight="1">
      <c r="B55" s="153" t="s">
        <v>79</v>
      </c>
      <c r="C55" s="153"/>
      <c r="D55" s="153"/>
      <c r="E55" s="153"/>
      <c r="F55" s="153"/>
      <c r="G55" s="319" t="s">
        <v>80</v>
      </c>
      <c r="H55" s="249"/>
      <c r="I55" s="249"/>
      <c r="J55" s="249"/>
      <c r="K55" s="249"/>
      <c r="L55" s="249"/>
      <c r="M55" s="249"/>
      <c r="N55" s="249"/>
      <c r="O55" s="249"/>
    </row>
    <row r="56" spans="2:39" ht="20.100000000000001" customHeight="1">
      <c r="B56" s="153"/>
      <c r="C56" s="153"/>
      <c r="D56" s="153"/>
      <c r="E56" s="153"/>
      <c r="F56" s="153"/>
      <c r="G56" s="249"/>
      <c r="H56" s="249"/>
      <c r="I56" s="249"/>
      <c r="J56" s="249"/>
      <c r="K56" s="249"/>
      <c r="L56" s="249"/>
      <c r="M56" s="249"/>
      <c r="N56" s="249"/>
      <c r="O56" s="249"/>
    </row>
    <row r="57" spans="2:39" ht="20.100000000000001" customHeight="1"/>
    <row r="58" spans="2:39" ht="20.100000000000001" customHeight="1">
      <c r="C58" s="90">
        <v>11</v>
      </c>
      <c r="D58" s="90"/>
      <c r="E58" s="182" t="s">
        <v>80</v>
      </c>
      <c r="F58" s="181"/>
      <c r="G58" s="183"/>
      <c r="H58" s="159"/>
      <c r="I58" s="159"/>
      <c r="J58" s="159"/>
      <c r="K58" s="159"/>
      <c r="L58" s="159"/>
    </row>
  </sheetData>
  <sheetProtection selectLockedCells="1" selectUnlockedCells="1"/>
  <mergeCells count="205">
    <mergeCell ref="P26:R26"/>
    <mergeCell ref="T24:U25"/>
    <mergeCell ref="N20:R21"/>
    <mergeCell ref="N22:R22"/>
    <mergeCell ref="S20:U22"/>
    <mergeCell ref="M31:O31"/>
    <mergeCell ref="P31:R31"/>
    <mergeCell ref="C22:G22"/>
    <mergeCell ref="H22:J22"/>
    <mergeCell ref="K22:M22"/>
    <mergeCell ref="H23:J23"/>
    <mergeCell ref="K26:M26"/>
    <mergeCell ref="H26:J26"/>
    <mergeCell ref="L13:M13"/>
    <mergeCell ref="N13:O13"/>
    <mergeCell ref="M8:O8"/>
    <mergeCell ref="P9:AD9"/>
    <mergeCell ref="H11:P11"/>
    <mergeCell ref="P8:Q8"/>
    <mergeCell ref="P23:R23"/>
    <mergeCell ref="P24:R24"/>
    <mergeCell ref="P25:R25"/>
    <mergeCell ref="K25:M25"/>
    <mergeCell ref="K24:M24"/>
    <mergeCell ref="K23:M23"/>
    <mergeCell ref="U11:AD11"/>
    <mergeCell ref="AB1:AC1"/>
    <mergeCell ref="B7:D7"/>
    <mergeCell ref="J7:K7"/>
    <mergeCell ref="R1:W1"/>
    <mergeCell ref="Q2:T2"/>
    <mergeCell ref="Z2:AC2"/>
    <mergeCell ref="B1:L2"/>
    <mergeCell ref="B3:L3"/>
    <mergeCell ref="B4:L4"/>
    <mergeCell ref="G6:N6"/>
    <mergeCell ref="S6:W6"/>
    <mergeCell ref="Z6:AD6"/>
    <mergeCell ref="E7:I7"/>
    <mergeCell ref="L7:O7"/>
    <mergeCell ref="V3:W3"/>
    <mergeCell ref="S3:T3"/>
    <mergeCell ref="G5:AD5"/>
    <mergeCell ref="E8:F8"/>
    <mergeCell ref="H8:I8"/>
    <mergeCell ref="AI45:AJ45"/>
    <mergeCell ref="AI44:AJ44"/>
    <mergeCell ref="AI43:AJ43"/>
    <mergeCell ref="AI41:AJ41"/>
    <mergeCell ref="AI42:AJ42"/>
    <mergeCell ref="AI40:AL40"/>
    <mergeCell ref="C14:I14"/>
    <mergeCell ref="J14:O14"/>
    <mergeCell ref="C15:I15"/>
    <mergeCell ref="J15:O15"/>
    <mergeCell ref="C16:I16"/>
    <mergeCell ref="J16:O16"/>
    <mergeCell ref="C21:G21"/>
    <mergeCell ref="F41:H41"/>
    <mergeCell ref="S24:S25"/>
    <mergeCell ref="H20:M20"/>
    <mergeCell ref="H21:M21"/>
    <mergeCell ref="C23:G23"/>
    <mergeCell ref="C24:G24"/>
    <mergeCell ref="C25:G25"/>
    <mergeCell ref="C20:G20"/>
    <mergeCell ref="C40:E41"/>
    <mergeCell ref="C42:E42"/>
    <mergeCell ref="C43:E43"/>
    <mergeCell ref="F50:H50"/>
    <mergeCell ref="F49:H49"/>
    <mergeCell ref="Y40:AA41"/>
    <mergeCell ref="Y42:AA42"/>
    <mergeCell ref="H25:J25"/>
    <mergeCell ref="H24:J24"/>
    <mergeCell ref="F44:H44"/>
    <mergeCell ref="F43:H43"/>
    <mergeCell ref="I42:K42"/>
    <mergeCell ref="I43:K43"/>
    <mergeCell ref="I44:K44"/>
    <mergeCell ref="R40:T41"/>
    <mergeCell ref="F42:H42"/>
    <mergeCell ref="F40:Q40"/>
    <mergeCell ref="S29:W30"/>
    <mergeCell ref="C34:G34"/>
    <mergeCell ref="C26:G26"/>
    <mergeCell ref="M34:O34"/>
    <mergeCell ref="P32:R32"/>
    <mergeCell ref="P33:R33"/>
    <mergeCell ref="C29:G29"/>
    <mergeCell ref="S31:W31"/>
    <mergeCell ref="Y38:Z38"/>
    <mergeCell ref="S32:W32"/>
    <mergeCell ref="AI52:AJ52"/>
    <mergeCell ref="AI50:AJ50"/>
    <mergeCell ref="AI51:AJ51"/>
    <mergeCell ref="AI47:AJ47"/>
    <mergeCell ref="AI49:AJ49"/>
    <mergeCell ref="AI48:AJ48"/>
    <mergeCell ref="AI46:AJ46"/>
    <mergeCell ref="R51:T51"/>
    <mergeCell ref="R48:T48"/>
    <mergeCell ref="R49:T49"/>
    <mergeCell ref="U48:X48"/>
    <mergeCell ref="U49:X49"/>
    <mergeCell ref="U50:X50"/>
    <mergeCell ref="U51:X51"/>
    <mergeCell ref="Y44:AA44"/>
    <mergeCell ref="Y45:AA45"/>
    <mergeCell ref="Y46:AA46"/>
    <mergeCell ref="Y47:AA47"/>
    <mergeCell ref="Y48:AA48"/>
    <mergeCell ref="Y49:AA49"/>
    <mergeCell ref="F48:H48"/>
    <mergeCell ref="F47:H47"/>
    <mergeCell ref="F46:H46"/>
    <mergeCell ref="Y50:AA50"/>
    <mergeCell ref="Y51:AA51"/>
    <mergeCell ref="Y52:AA52"/>
    <mergeCell ref="F52:H52"/>
    <mergeCell ref="F51:H51"/>
    <mergeCell ref="L49:N49"/>
    <mergeCell ref="L50:N50"/>
    <mergeCell ref="U52:X52"/>
    <mergeCell ref="O52:Q52"/>
    <mergeCell ref="I50:K50"/>
    <mergeCell ref="I51:K51"/>
    <mergeCell ref="I52:K52"/>
    <mergeCell ref="L51:N51"/>
    <mergeCell ref="L52:N52"/>
    <mergeCell ref="I48:K48"/>
    <mergeCell ref="I49:K49"/>
    <mergeCell ref="O48:Q48"/>
    <mergeCell ref="O49:Q49"/>
    <mergeCell ref="O50:Q50"/>
    <mergeCell ref="O51:Q51"/>
    <mergeCell ref="R50:T50"/>
    <mergeCell ref="I53:K53"/>
    <mergeCell ref="L53:N53"/>
    <mergeCell ref="O53:Q53"/>
    <mergeCell ref="R53:T53"/>
    <mergeCell ref="U53:V53"/>
    <mergeCell ref="W53:X53"/>
    <mergeCell ref="R52:T52"/>
    <mergeCell ref="R46:T46"/>
    <mergeCell ref="S34:W34"/>
    <mergeCell ref="O41:Q41"/>
    <mergeCell ref="O42:Q42"/>
    <mergeCell ref="O43:Q43"/>
    <mergeCell ref="O44:Q44"/>
    <mergeCell ref="O45:Q45"/>
    <mergeCell ref="O46:Q46"/>
    <mergeCell ref="O47:Q47"/>
    <mergeCell ref="U40:X41"/>
    <mergeCell ref="I41:K41"/>
    <mergeCell ref="L41:N41"/>
    <mergeCell ref="L44:N44"/>
    <mergeCell ref="L45:N45"/>
    <mergeCell ref="L46:N46"/>
    <mergeCell ref="L47:N47"/>
    <mergeCell ref="L48:N48"/>
    <mergeCell ref="L42:N42"/>
    <mergeCell ref="L43:N43"/>
    <mergeCell ref="R42:T42"/>
    <mergeCell ref="R43:T43"/>
    <mergeCell ref="Y43:AA43"/>
    <mergeCell ref="X29:AB31"/>
    <mergeCell ref="C30:G30"/>
    <mergeCell ref="S33:W33"/>
    <mergeCell ref="P34:R34"/>
    <mergeCell ref="M29:R29"/>
    <mergeCell ref="M30:R30"/>
    <mergeCell ref="H30:L30"/>
    <mergeCell ref="H31:L31"/>
    <mergeCell ref="H32:L32"/>
    <mergeCell ref="H33:L33"/>
    <mergeCell ref="H34:L34"/>
    <mergeCell ref="H29:L29"/>
    <mergeCell ref="U42:X42"/>
    <mergeCell ref="U43:X43"/>
    <mergeCell ref="M32:O32"/>
    <mergeCell ref="M33:O33"/>
    <mergeCell ref="C32:G32"/>
    <mergeCell ref="C33:G33"/>
    <mergeCell ref="C31:G31"/>
    <mergeCell ref="C52:E52"/>
    <mergeCell ref="C51:E51"/>
    <mergeCell ref="C50:E50"/>
    <mergeCell ref="C49:E49"/>
    <mergeCell ref="C48:E48"/>
    <mergeCell ref="C47:E47"/>
    <mergeCell ref="C46:E46"/>
    <mergeCell ref="C45:E45"/>
    <mergeCell ref="C44:E44"/>
    <mergeCell ref="F45:H45"/>
    <mergeCell ref="I46:K46"/>
    <mergeCell ref="U44:X44"/>
    <mergeCell ref="U45:X45"/>
    <mergeCell ref="U46:X46"/>
    <mergeCell ref="U47:X47"/>
    <mergeCell ref="I45:K45"/>
    <mergeCell ref="R44:T44"/>
    <mergeCell ref="R45:T45"/>
    <mergeCell ref="R47:T47"/>
    <mergeCell ref="I47:K47"/>
  </mergeCells>
  <pageMargins left="0.23622047244094491" right="0.23622047244094491" top="0.74803149606299213" bottom="0.23622047244094491" header="0.31496062992125984" footer="0.31496062992125984"/>
  <pageSetup scale="97" orientation="portrait" horizontalDpi="1200" verticalDpi="1200" r:id="rId1"/>
  <headerFooter>
    <oddFooter>&amp;R&amp;"Gulim,Regular"&amp;8SP-FMD-04-01 Rev.0 Effective date 2-Nov-15</oddFooter>
  </headerFooter>
  <rowBreaks count="1" manualBreakCount="1">
    <brk id="37" max="3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200025</xdr:colOff>
                    <xdr:row>3</xdr:row>
                    <xdr:rowOff>66675</xdr:rowOff>
                  </from>
                  <to>
                    <xdr:col>25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47625</xdr:rowOff>
                  </from>
                  <to>
                    <xdr:col>17</xdr:col>
                    <xdr:colOff>38100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114300</xdr:rowOff>
                  </from>
                  <to>
                    <xdr:col>8</xdr:col>
                    <xdr:colOff>9525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9525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BF311"/>
  </sheetPr>
  <dimension ref="A1:AJ59"/>
  <sheetViews>
    <sheetView view="pageBreakPreview" topLeftCell="A25" zoomScale="120" zoomScaleSheetLayoutView="120" workbookViewId="0">
      <selection activeCell="S19" sqref="S19"/>
    </sheetView>
  </sheetViews>
  <sheetFormatPr defaultColWidth="9.140625" defaultRowHeight="20.25"/>
  <cols>
    <col min="1" max="31" width="3.42578125" style="77" customWidth="1"/>
    <col min="32" max="256" width="9.140625" style="77"/>
    <col min="257" max="287" width="3.42578125" style="77" customWidth="1"/>
    <col min="288" max="512" width="9.140625" style="77"/>
    <col min="513" max="543" width="3.42578125" style="77" customWidth="1"/>
    <col min="544" max="768" width="9.140625" style="77"/>
    <col min="769" max="799" width="3.42578125" style="77" customWidth="1"/>
    <col min="800" max="1024" width="9.140625" style="77"/>
    <col min="1025" max="1055" width="3.42578125" style="77" customWidth="1"/>
    <col min="1056" max="1280" width="9.140625" style="77"/>
    <col min="1281" max="1311" width="3.42578125" style="77" customWidth="1"/>
    <col min="1312" max="1536" width="9.140625" style="77"/>
    <col min="1537" max="1567" width="3.42578125" style="77" customWidth="1"/>
    <col min="1568" max="1792" width="9.140625" style="77"/>
    <col min="1793" max="1823" width="3.42578125" style="77" customWidth="1"/>
    <col min="1824" max="2048" width="9.140625" style="77"/>
    <col min="2049" max="2079" width="3.42578125" style="77" customWidth="1"/>
    <col min="2080" max="2304" width="9.140625" style="77"/>
    <col min="2305" max="2335" width="3.42578125" style="77" customWidth="1"/>
    <col min="2336" max="2560" width="9.140625" style="77"/>
    <col min="2561" max="2591" width="3.42578125" style="77" customWidth="1"/>
    <col min="2592" max="2816" width="9.140625" style="77"/>
    <col min="2817" max="2847" width="3.42578125" style="77" customWidth="1"/>
    <col min="2848" max="3072" width="9.140625" style="77"/>
    <col min="3073" max="3103" width="3.42578125" style="77" customWidth="1"/>
    <col min="3104" max="3328" width="9.140625" style="77"/>
    <col min="3329" max="3359" width="3.42578125" style="77" customWidth="1"/>
    <col min="3360" max="3584" width="9.140625" style="77"/>
    <col min="3585" max="3615" width="3.42578125" style="77" customWidth="1"/>
    <col min="3616" max="3840" width="9.140625" style="77"/>
    <col min="3841" max="3871" width="3.42578125" style="77" customWidth="1"/>
    <col min="3872" max="4096" width="9.140625" style="77"/>
    <col min="4097" max="4127" width="3.42578125" style="77" customWidth="1"/>
    <col min="4128" max="4352" width="9.140625" style="77"/>
    <col min="4353" max="4383" width="3.42578125" style="77" customWidth="1"/>
    <col min="4384" max="4608" width="9.140625" style="77"/>
    <col min="4609" max="4639" width="3.42578125" style="77" customWidth="1"/>
    <col min="4640" max="4864" width="9.140625" style="77"/>
    <col min="4865" max="4895" width="3.42578125" style="77" customWidth="1"/>
    <col min="4896" max="5120" width="9.140625" style="77"/>
    <col min="5121" max="5151" width="3.42578125" style="77" customWidth="1"/>
    <col min="5152" max="5376" width="9.140625" style="77"/>
    <col min="5377" max="5407" width="3.42578125" style="77" customWidth="1"/>
    <col min="5408" max="5632" width="9.140625" style="77"/>
    <col min="5633" max="5663" width="3.42578125" style="77" customWidth="1"/>
    <col min="5664" max="5888" width="9.140625" style="77"/>
    <col min="5889" max="5919" width="3.42578125" style="77" customWidth="1"/>
    <col min="5920" max="6144" width="9.140625" style="77"/>
    <col min="6145" max="6175" width="3.42578125" style="77" customWidth="1"/>
    <col min="6176" max="6400" width="9.140625" style="77"/>
    <col min="6401" max="6431" width="3.42578125" style="77" customWidth="1"/>
    <col min="6432" max="6656" width="9.140625" style="77"/>
    <col min="6657" max="6687" width="3.42578125" style="77" customWidth="1"/>
    <col min="6688" max="6912" width="9.140625" style="77"/>
    <col min="6913" max="6943" width="3.42578125" style="77" customWidth="1"/>
    <col min="6944" max="7168" width="9.140625" style="77"/>
    <col min="7169" max="7199" width="3.42578125" style="77" customWidth="1"/>
    <col min="7200" max="7424" width="9.140625" style="77"/>
    <col min="7425" max="7455" width="3.42578125" style="77" customWidth="1"/>
    <col min="7456" max="7680" width="9.140625" style="77"/>
    <col min="7681" max="7711" width="3.42578125" style="77" customWidth="1"/>
    <col min="7712" max="7936" width="9.140625" style="77"/>
    <col min="7937" max="7967" width="3.42578125" style="77" customWidth="1"/>
    <col min="7968" max="8192" width="9.140625" style="77"/>
    <col min="8193" max="8223" width="3.42578125" style="77" customWidth="1"/>
    <col min="8224" max="8448" width="9.140625" style="77"/>
    <col min="8449" max="8479" width="3.42578125" style="77" customWidth="1"/>
    <col min="8480" max="8704" width="9.140625" style="77"/>
    <col min="8705" max="8735" width="3.42578125" style="77" customWidth="1"/>
    <col min="8736" max="8960" width="9.140625" style="77"/>
    <col min="8961" max="8991" width="3.42578125" style="77" customWidth="1"/>
    <col min="8992" max="9216" width="9.140625" style="77"/>
    <col min="9217" max="9247" width="3.42578125" style="77" customWidth="1"/>
    <col min="9248" max="9472" width="9.140625" style="77"/>
    <col min="9473" max="9503" width="3.42578125" style="77" customWidth="1"/>
    <col min="9504" max="9728" width="9.140625" style="77"/>
    <col min="9729" max="9759" width="3.42578125" style="77" customWidth="1"/>
    <col min="9760" max="9984" width="9.140625" style="77"/>
    <col min="9985" max="10015" width="3.42578125" style="77" customWidth="1"/>
    <col min="10016" max="10240" width="9.140625" style="77"/>
    <col min="10241" max="10271" width="3.42578125" style="77" customWidth="1"/>
    <col min="10272" max="10496" width="9.140625" style="77"/>
    <col min="10497" max="10527" width="3.42578125" style="77" customWidth="1"/>
    <col min="10528" max="10752" width="9.140625" style="77"/>
    <col min="10753" max="10783" width="3.42578125" style="77" customWidth="1"/>
    <col min="10784" max="11008" width="9.140625" style="77"/>
    <col min="11009" max="11039" width="3.42578125" style="77" customWidth="1"/>
    <col min="11040" max="11264" width="9.140625" style="77"/>
    <col min="11265" max="11295" width="3.42578125" style="77" customWidth="1"/>
    <col min="11296" max="11520" width="9.140625" style="77"/>
    <col min="11521" max="11551" width="3.42578125" style="77" customWidth="1"/>
    <col min="11552" max="11776" width="9.140625" style="77"/>
    <col min="11777" max="11807" width="3.42578125" style="77" customWidth="1"/>
    <col min="11808" max="12032" width="9.140625" style="77"/>
    <col min="12033" max="12063" width="3.42578125" style="77" customWidth="1"/>
    <col min="12064" max="12288" width="9.140625" style="77"/>
    <col min="12289" max="12319" width="3.42578125" style="77" customWidth="1"/>
    <col min="12320" max="12544" width="9.140625" style="77"/>
    <col min="12545" max="12575" width="3.42578125" style="77" customWidth="1"/>
    <col min="12576" max="12800" width="9.140625" style="77"/>
    <col min="12801" max="12831" width="3.42578125" style="77" customWidth="1"/>
    <col min="12832" max="13056" width="9.140625" style="77"/>
    <col min="13057" max="13087" width="3.42578125" style="77" customWidth="1"/>
    <col min="13088" max="13312" width="9.140625" style="77"/>
    <col min="13313" max="13343" width="3.42578125" style="77" customWidth="1"/>
    <col min="13344" max="13568" width="9.140625" style="77"/>
    <col min="13569" max="13599" width="3.42578125" style="77" customWidth="1"/>
    <col min="13600" max="13824" width="9.140625" style="77"/>
    <col min="13825" max="13855" width="3.42578125" style="77" customWidth="1"/>
    <col min="13856" max="14080" width="9.140625" style="77"/>
    <col min="14081" max="14111" width="3.42578125" style="77" customWidth="1"/>
    <col min="14112" max="14336" width="9.140625" style="77"/>
    <col min="14337" max="14367" width="3.42578125" style="77" customWidth="1"/>
    <col min="14368" max="14592" width="9.140625" style="77"/>
    <col min="14593" max="14623" width="3.42578125" style="77" customWidth="1"/>
    <col min="14624" max="14848" width="9.140625" style="77"/>
    <col min="14849" max="14879" width="3.42578125" style="77" customWidth="1"/>
    <col min="14880" max="15104" width="9.140625" style="77"/>
    <col min="15105" max="15135" width="3.42578125" style="77" customWidth="1"/>
    <col min="15136" max="15360" width="9.140625" style="77"/>
    <col min="15361" max="15391" width="3.42578125" style="77" customWidth="1"/>
    <col min="15392" max="15616" width="9.140625" style="77"/>
    <col min="15617" max="15647" width="3.42578125" style="77" customWidth="1"/>
    <col min="15648" max="15872" width="9.140625" style="77"/>
    <col min="15873" max="15903" width="3.42578125" style="77" customWidth="1"/>
    <col min="15904" max="16128" width="9.140625" style="77"/>
    <col min="16129" max="16159" width="3.42578125" style="77" customWidth="1"/>
    <col min="16160" max="16384" width="9.140625" style="77"/>
  </cols>
  <sheetData>
    <row r="1" spans="1:30" ht="13.5" customHeight="1"/>
    <row r="2" spans="1:30" ht="14.1" customHeight="1"/>
    <row r="3" spans="1:30" ht="35.450000000000003" customHeight="1">
      <c r="A3" s="569" t="s">
        <v>19</v>
      </c>
      <c r="B3" s="569"/>
      <c r="C3" s="569"/>
      <c r="D3" s="569"/>
      <c r="E3" s="569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  <c r="T3" s="569"/>
      <c r="U3" s="569"/>
      <c r="V3" s="569"/>
      <c r="W3" s="569"/>
      <c r="X3" s="569"/>
      <c r="Y3" s="569"/>
      <c r="Z3" s="569"/>
      <c r="AA3" s="569"/>
      <c r="AB3" s="569"/>
      <c r="AC3" s="569"/>
      <c r="AD3" s="569"/>
    </row>
    <row r="4" spans="1:30" s="79" customFormat="1" ht="20.100000000000001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</row>
    <row r="5" spans="1:30" s="79" customFormat="1" ht="24" customHeight="1">
      <c r="A5" s="80"/>
      <c r="B5" s="80"/>
      <c r="C5" s="272" t="s">
        <v>26</v>
      </c>
      <c r="D5" s="272"/>
      <c r="E5" s="273"/>
      <c r="F5" s="272"/>
      <c r="G5" s="273"/>
      <c r="H5" s="273"/>
      <c r="I5" s="274" t="s">
        <v>27</v>
      </c>
      <c r="J5" s="275" t="str">
        <f>Data!R1</f>
        <v>SPR16010011-1</v>
      </c>
      <c r="K5" s="276"/>
      <c r="L5" s="276"/>
      <c r="M5" s="275"/>
      <c r="N5" s="275"/>
      <c r="O5" s="275"/>
      <c r="P5" s="275"/>
      <c r="Q5" s="275"/>
      <c r="R5" s="276"/>
      <c r="S5" s="276"/>
      <c r="T5" s="276"/>
      <c r="U5" s="276"/>
      <c r="V5" s="276"/>
      <c r="W5" s="276"/>
      <c r="AA5" s="350" t="s">
        <v>130</v>
      </c>
    </row>
    <row r="6" spans="1:30" s="79" customFormat="1" ht="24" customHeight="1">
      <c r="A6" s="80"/>
      <c r="B6" s="80"/>
      <c r="C6" s="273"/>
      <c r="D6" s="273"/>
      <c r="E6" s="273"/>
      <c r="F6" s="272"/>
      <c r="G6" s="277"/>
      <c r="H6" s="277"/>
      <c r="I6" s="272"/>
      <c r="J6" s="275"/>
      <c r="K6" s="276"/>
      <c r="L6" s="276"/>
      <c r="M6" s="275"/>
      <c r="N6" s="275"/>
      <c r="O6" s="275"/>
      <c r="P6" s="275"/>
      <c r="Q6" s="275"/>
      <c r="R6" s="276"/>
      <c r="S6" s="276"/>
      <c r="T6" s="276"/>
      <c r="U6" s="276"/>
      <c r="V6" s="276"/>
      <c r="W6" s="276"/>
      <c r="X6" s="276"/>
    </row>
    <row r="7" spans="1:30" s="79" customFormat="1" ht="24" customHeight="1">
      <c r="A7" s="80"/>
      <c r="B7" s="80"/>
      <c r="C7" s="278" t="s">
        <v>28</v>
      </c>
      <c r="D7" s="278"/>
      <c r="E7" s="273"/>
      <c r="F7" s="273"/>
      <c r="G7" s="273"/>
      <c r="H7" s="273"/>
      <c r="I7" s="274" t="s">
        <v>27</v>
      </c>
      <c r="J7" s="279"/>
      <c r="K7" s="276"/>
      <c r="L7" s="276"/>
      <c r="M7" s="280"/>
      <c r="N7" s="280"/>
      <c r="O7" s="280"/>
      <c r="P7" s="280"/>
      <c r="Q7" s="280"/>
      <c r="R7" s="280"/>
      <c r="S7" s="280"/>
      <c r="T7" s="280"/>
      <c r="U7" s="280"/>
      <c r="V7" s="281"/>
      <c r="W7" s="281"/>
      <c r="X7" s="281"/>
      <c r="Y7" s="107"/>
      <c r="Z7" s="107"/>
      <c r="AA7" s="107"/>
    </row>
    <row r="8" spans="1:30" s="79" customFormat="1" ht="24" customHeight="1">
      <c r="A8" s="80"/>
      <c r="B8" s="80"/>
      <c r="C8" s="273"/>
      <c r="D8" s="278"/>
      <c r="E8" s="278"/>
      <c r="F8" s="273"/>
      <c r="G8" s="273"/>
      <c r="H8" s="273"/>
      <c r="I8" s="274"/>
      <c r="J8" s="282"/>
      <c r="K8" s="276"/>
      <c r="L8" s="279"/>
      <c r="M8" s="283"/>
      <c r="N8" s="283"/>
      <c r="O8" s="280"/>
      <c r="P8" s="280"/>
      <c r="Q8" s="280"/>
      <c r="R8" s="280"/>
      <c r="S8" s="280"/>
      <c r="T8" s="280"/>
      <c r="U8" s="280"/>
      <c r="V8" s="280"/>
      <c r="W8" s="281"/>
      <c r="X8" s="281"/>
      <c r="Y8" s="98"/>
      <c r="Z8" s="98"/>
      <c r="AA8" s="98"/>
    </row>
    <row r="9" spans="1:30" s="79" customFormat="1" ht="24" customHeight="1">
      <c r="A9" s="80"/>
      <c r="B9" s="80"/>
      <c r="C9" s="227"/>
      <c r="D9" s="230"/>
      <c r="E9" s="230"/>
      <c r="F9" s="227"/>
      <c r="G9" s="227"/>
      <c r="H9" s="227"/>
      <c r="I9" s="227"/>
      <c r="J9" s="112"/>
      <c r="L9" s="112"/>
      <c r="M9" s="156"/>
      <c r="N9" s="156"/>
      <c r="O9" s="96"/>
      <c r="P9" s="96"/>
      <c r="Q9" s="96"/>
      <c r="R9" s="96"/>
      <c r="S9" s="96"/>
      <c r="T9" s="96"/>
      <c r="U9" s="96"/>
      <c r="V9" s="96"/>
      <c r="W9" s="97"/>
      <c r="X9" s="98"/>
      <c r="Y9" s="98"/>
      <c r="Z9" s="98"/>
      <c r="AA9" s="98"/>
    </row>
    <row r="10" spans="1:30" s="107" customFormat="1" ht="15" customHeight="1">
      <c r="A10" s="99"/>
      <c r="B10" s="99"/>
      <c r="C10" s="231"/>
      <c r="D10" s="231"/>
      <c r="E10" s="231"/>
      <c r="F10" s="231"/>
      <c r="G10" s="231"/>
      <c r="H10" s="232"/>
      <c r="I10" s="231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233"/>
      <c r="V10" s="233"/>
      <c r="W10" s="105"/>
      <c r="X10" s="284"/>
      <c r="Y10" s="285"/>
      <c r="Z10" s="285"/>
      <c r="AA10" s="285"/>
      <c r="AB10" s="299"/>
      <c r="AC10" s="299"/>
    </row>
    <row r="11" spans="1:30" s="79" customFormat="1" ht="15" customHeight="1">
      <c r="A11" s="80"/>
      <c r="B11" s="80"/>
      <c r="C11" s="230"/>
      <c r="D11" s="230"/>
      <c r="E11" s="230"/>
      <c r="F11" s="230"/>
      <c r="G11" s="230"/>
      <c r="H11" s="234"/>
      <c r="I11" s="235"/>
      <c r="J11" s="97"/>
      <c r="K11" s="156"/>
      <c r="L11" s="96"/>
      <c r="M11" s="96"/>
      <c r="N11" s="96"/>
      <c r="O11" s="96"/>
      <c r="P11" s="96"/>
      <c r="Q11" s="96"/>
      <c r="R11" s="96"/>
      <c r="S11" s="96"/>
      <c r="T11" s="96"/>
      <c r="U11" s="97"/>
      <c r="V11" s="97"/>
      <c r="W11" s="85"/>
      <c r="Y11" s="236"/>
      <c r="Z11" s="236"/>
      <c r="AA11" s="236"/>
    </row>
    <row r="12" spans="1:30" s="79" customFormat="1" ht="24" customHeight="1">
      <c r="A12" s="80"/>
      <c r="B12" s="80"/>
      <c r="C12" s="278" t="s">
        <v>29</v>
      </c>
      <c r="D12" s="230"/>
      <c r="E12" s="230"/>
      <c r="F12" s="230"/>
      <c r="G12" s="227"/>
      <c r="H12" s="227"/>
      <c r="I12" s="234" t="s">
        <v>27</v>
      </c>
      <c r="J12" s="279" t="str">
        <f>Data!G6</f>
        <v>External Micrometer</v>
      </c>
      <c r="K12" s="276"/>
      <c r="L12" s="279"/>
      <c r="M12" s="86"/>
      <c r="N12" s="86"/>
      <c r="P12" s="86"/>
      <c r="Q12" s="112"/>
      <c r="R12" s="112"/>
      <c r="S12" s="112"/>
      <c r="T12" s="112"/>
      <c r="U12" s="112"/>
      <c r="V12" s="112"/>
      <c r="W12" s="112"/>
      <c r="X12" s="114"/>
      <c r="Y12" s="114"/>
      <c r="Z12" s="114"/>
      <c r="AA12" s="114"/>
    </row>
    <row r="13" spans="1:30" s="79" customFormat="1" ht="24" customHeight="1">
      <c r="A13" s="80"/>
      <c r="B13" s="80"/>
      <c r="C13" s="286" t="s">
        <v>30</v>
      </c>
      <c r="D13" s="230"/>
      <c r="E13" s="230"/>
      <c r="F13" s="230"/>
      <c r="G13" s="227"/>
      <c r="H13" s="227"/>
      <c r="I13" s="234" t="s">
        <v>27</v>
      </c>
      <c r="J13" s="279" t="str">
        <f>Data!S6</f>
        <v>Mitutoyo</v>
      </c>
      <c r="K13" s="276"/>
      <c r="L13" s="279"/>
      <c r="M13" s="86"/>
      <c r="N13" s="86"/>
      <c r="P13" s="86"/>
      <c r="Q13" s="112"/>
      <c r="R13" s="112"/>
      <c r="S13" s="86"/>
      <c r="T13" s="86"/>
      <c r="U13" s="86"/>
      <c r="V13" s="86"/>
      <c r="W13" s="86"/>
    </row>
    <row r="14" spans="1:30" s="79" customFormat="1" ht="24" customHeight="1">
      <c r="A14" s="80"/>
      <c r="B14" s="80"/>
      <c r="C14" s="278" t="s">
        <v>31</v>
      </c>
      <c r="D14" s="230"/>
      <c r="E14" s="230"/>
      <c r="F14" s="230"/>
      <c r="G14" s="227"/>
      <c r="H14" s="227"/>
      <c r="I14" s="234" t="s">
        <v>27</v>
      </c>
      <c r="J14" s="287" t="str">
        <f>Data!E7</f>
        <v>123-456</v>
      </c>
      <c r="K14" s="279"/>
      <c r="L14" s="279"/>
      <c r="M14" s="86"/>
      <c r="N14" s="86"/>
      <c r="P14" s="86"/>
      <c r="Q14" s="112"/>
      <c r="R14" s="112"/>
      <c r="S14" s="112"/>
      <c r="T14" s="112"/>
      <c r="U14" s="112"/>
      <c r="V14" s="230"/>
      <c r="W14" s="86"/>
      <c r="X14" s="114"/>
    </row>
    <row r="15" spans="1:30" s="79" customFormat="1" ht="24" customHeight="1">
      <c r="A15" s="80"/>
      <c r="B15" s="80"/>
      <c r="C15" s="278" t="s">
        <v>32</v>
      </c>
      <c r="D15" s="230"/>
      <c r="E15" s="230"/>
      <c r="F15" s="230"/>
      <c r="G15" s="227"/>
      <c r="H15" s="227"/>
      <c r="I15" s="234" t="s">
        <v>27</v>
      </c>
      <c r="J15" s="571">
        <f>Data!P7</f>
        <v>0</v>
      </c>
      <c r="K15" s="571"/>
      <c r="L15" s="571"/>
      <c r="M15" s="288"/>
      <c r="N15" s="288"/>
      <c r="P15" s="86"/>
      <c r="Q15" s="86"/>
      <c r="R15" s="112"/>
      <c r="S15" s="86"/>
      <c r="T15" s="86"/>
      <c r="U15" s="86"/>
      <c r="V15" s="86"/>
      <c r="W15" s="86"/>
    </row>
    <row r="16" spans="1:30" s="79" customFormat="1" ht="24" customHeight="1">
      <c r="A16" s="80"/>
      <c r="B16" s="80"/>
      <c r="C16" s="278" t="s">
        <v>33</v>
      </c>
      <c r="D16" s="230"/>
      <c r="E16" s="230"/>
      <c r="F16" s="230"/>
      <c r="G16" s="227"/>
      <c r="H16" s="227"/>
      <c r="I16" s="234" t="s">
        <v>27</v>
      </c>
      <c r="J16" s="289">
        <f>Data!Z7</f>
        <v>0</v>
      </c>
      <c r="K16" s="279"/>
      <c r="L16" s="290"/>
      <c r="M16" s="86"/>
      <c r="N16" s="86"/>
      <c r="P16" s="86"/>
      <c r="Q16" s="86"/>
      <c r="R16" s="112"/>
      <c r="S16" s="112"/>
      <c r="T16" s="112"/>
      <c r="U16" s="112"/>
      <c r="V16" s="117"/>
      <c r="W16" s="86"/>
      <c r="X16" s="114"/>
    </row>
    <row r="17" spans="1:36" s="79" customFormat="1" ht="18.95" customHeight="1">
      <c r="A17" s="80"/>
      <c r="B17" s="80"/>
      <c r="C17" s="230"/>
      <c r="D17" s="230"/>
      <c r="E17" s="230"/>
      <c r="F17" s="230"/>
      <c r="G17" s="227"/>
      <c r="H17" s="227"/>
      <c r="I17" s="117"/>
      <c r="J17" s="266"/>
      <c r="K17" s="86"/>
      <c r="L17" s="86"/>
      <c r="M17" s="112"/>
      <c r="N17" s="112"/>
      <c r="P17" s="86"/>
      <c r="Q17" s="112"/>
      <c r="R17" s="112"/>
      <c r="S17" s="112"/>
      <c r="T17" s="117"/>
      <c r="U17" s="86"/>
      <c r="V17" s="112"/>
      <c r="W17" s="86"/>
    </row>
    <row r="18" spans="1:36" s="79" customFormat="1" ht="24" customHeight="1">
      <c r="A18" s="80"/>
      <c r="B18" s="80"/>
      <c r="C18" s="278" t="s">
        <v>37</v>
      </c>
      <c r="D18" s="278"/>
      <c r="E18" s="230"/>
      <c r="F18" s="230"/>
      <c r="G18" s="230"/>
      <c r="H18" s="230"/>
      <c r="I18" s="264"/>
      <c r="J18" s="112"/>
      <c r="K18" s="112"/>
      <c r="L18" s="227"/>
      <c r="M18" s="291"/>
      <c r="N18" s="291"/>
      <c r="W18" s="86"/>
    </row>
    <row r="19" spans="1:36" s="79" customFormat="1" ht="24" customHeight="1">
      <c r="A19" s="80"/>
      <c r="B19" s="80"/>
      <c r="C19" s="278" t="s">
        <v>38</v>
      </c>
      <c r="D19" s="278"/>
      <c r="E19" s="230"/>
      <c r="F19" s="230"/>
      <c r="G19" s="227"/>
      <c r="H19" s="227"/>
      <c r="J19" s="267" t="s">
        <v>27</v>
      </c>
      <c r="K19" s="292" t="s">
        <v>143</v>
      </c>
      <c r="L19" s="276"/>
      <c r="M19" s="291"/>
      <c r="R19" s="286" t="s">
        <v>34</v>
      </c>
      <c r="S19" s="227"/>
      <c r="Z19" s="234" t="s">
        <v>27</v>
      </c>
      <c r="AA19" s="575">
        <f>Data!Q2</f>
        <v>42370</v>
      </c>
      <c r="AB19" s="575"/>
      <c r="AC19" s="575"/>
      <c r="AD19" s="575"/>
    </row>
    <row r="20" spans="1:36" s="79" customFormat="1" ht="24" customHeight="1">
      <c r="A20" s="80"/>
      <c r="B20" s="80"/>
      <c r="C20" s="278" t="s">
        <v>39</v>
      </c>
      <c r="D20" s="272"/>
      <c r="E20" s="226"/>
      <c r="F20" s="226"/>
      <c r="G20" s="227"/>
      <c r="H20" s="227"/>
      <c r="J20" s="229" t="s">
        <v>27</v>
      </c>
      <c r="K20" s="293" t="s">
        <v>131</v>
      </c>
      <c r="L20" s="276"/>
      <c r="M20" s="294"/>
      <c r="R20" s="286" t="s">
        <v>35</v>
      </c>
      <c r="S20" s="227"/>
      <c r="Z20" s="234" t="s">
        <v>27</v>
      </c>
      <c r="AA20" s="575">
        <f>Data!Z2</f>
        <v>42371</v>
      </c>
      <c r="AB20" s="575"/>
      <c r="AC20" s="575"/>
      <c r="AD20" s="575"/>
    </row>
    <row r="21" spans="1:36" s="79" customFormat="1" ht="24" customHeight="1">
      <c r="A21" s="80"/>
      <c r="B21" s="80"/>
      <c r="C21" s="278" t="s">
        <v>40</v>
      </c>
      <c r="D21" s="272"/>
      <c r="E21" s="226"/>
      <c r="F21" s="226"/>
      <c r="G21" s="227"/>
      <c r="H21" s="227"/>
      <c r="J21" s="229" t="s">
        <v>27</v>
      </c>
      <c r="K21" s="292" t="s">
        <v>41</v>
      </c>
      <c r="L21" s="276"/>
      <c r="M21" s="112"/>
      <c r="R21" s="272" t="s">
        <v>36</v>
      </c>
      <c r="S21" s="227"/>
      <c r="Z21" s="234" t="s">
        <v>27</v>
      </c>
      <c r="AA21" s="576">
        <f>AA20+365</f>
        <v>42736</v>
      </c>
      <c r="AB21" s="576"/>
      <c r="AC21" s="576"/>
      <c r="AD21" s="576"/>
    </row>
    <row r="22" spans="1:36" s="79" customFormat="1" ht="24" customHeight="1">
      <c r="A22" s="80"/>
      <c r="B22" s="80"/>
      <c r="C22" s="278" t="s">
        <v>132</v>
      </c>
      <c r="D22" s="276"/>
      <c r="J22" s="229" t="s">
        <v>27</v>
      </c>
      <c r="K22" s="276" t="s">
        <v>137</v>
      </c>
      <c r="L22" s="276"/>
      <c r="M22" s="86"/>
      <c r="N22" s="86"/>
      <c r="P22" s="86"/>
      <c r="Q22" s="124"/>
      <c r="R22" s="124"/>
      <c r="S22" s="86"/>
      <c r="T22" s="86"/>
      <c r="U22" s="86"/>
      <c r="V22" s="86"/>
      <c r="W22" s="86"/>
    </row>
    <row r="23" spans="1:36" s="79" customFormat="1" ht="18.95" customHeight="1">
      <c r="A23" s="80"/>
      <c r="B23" s="80"/>
      <c r="M23" s="86"/>
      <c r="N23" s="86"/>
      <c r="P23" s="86"/>
      <c r="Q23" s="86"/>
      <c r="R23" s="86"/>
      <c r="S23" s="86"/>
      <c r="T23" s="86"/>
      <c r="U23" s="86"/>
      <c r="V23" s="86"/>
      <c r="W23" s="86"/>
    </row>
    <row r="24" spans="1:36" s="79" customFormat="1" ht="24" customHeight="1">
      <c r="A24" s="80"/>
      <c r="B24" s="80"/>
      <c r="C24" s="227" t="s">
        <v>42</v>
      </c>
      <c r="D24" s="129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38"/>
      <c r="X24" s="131"/>
      <c r="Y24" s="239"/>
      <c r="Z24" s="239"/>
      <c r="AA24" s="239"/>
    </row>
    <row r="25" spans="1:36" s="79" customFormat="1" ht="24" customHeight="1">
      <c r="A25" s="80"/>
      <c r="B25" s="80"/>
      <c r="C25" s="295" t="s">
        <v>125</v>
      </c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0"/>
    </row>
    <row r="26" spans="1:36" s="79" customFormat="1" ht="24" customHeight="1">
      <c r="A26" s="80"/>
      <c r="B26" s="80"/>
      <c r="C26" s="295" t="s">
        <v>133</v>
      </c>
      <c r="D26" s="86"/>
      <c r="E26" s="80"/>
      <c r="F26" s="80"/>
      <c r="G26" s="80"/>
      <c r="H26" s="265"/>
      <c r="I26" s="265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0"/>
    </row>
    <row r="27" spans="1:36" s="79" customFormat="1" ht="24" customHeight="1">
      <c r="A27" s="80"/>
      <c r="B27" s="80"/>
      <c r="C27" s="295" t="s">
        <v>134</v>
      </c>
      <c r="D27" s="86"/>
      <c r="E27" s="265"/>
      <c r="F27" s="265"/>
      <c r="G27" s="265"/>
      <c r="H27" s="265"/>
      <c r="I27" s="265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0"/>
    </row>
    <row r="28" spans="1:36" s="79" customFormat="1" ht="24" customHeight="1">
      <c r="A28" s="80"/>
      <c r="B28" s="80"/>
      <c r="C28" s="295" t="s">
        <v>126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0"/>
    </row>
    <row r="29" spans="1:36" s="79" customFormat="1" ht="24" customHeight="1">
      <c r="A29" s="80"/>
      <c r="B29" s="80"/>
      <c r="C29" s="295" t="s">
        <v>127</v>
      </c>
      <c r="D29" s="86"/>
    </row>
    <row r="30" spans="1:36" s="79" customFormat="1" ht="24" customHeight="1">
      <c r="A30" s="80"/>
      <c r="B30" s="80"/>
      <c r="C30" s="295" t="s">
        <v>128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0"/>
    </row>
    <row r="31" spans="1:36" s="79" customFormat="1" ht="15.95" customHeight="1">
      <c r="A31" s="80"/>
      <c r="B31" s="80"/>
      <c r="C31" s="91"/>
      <c r="D31" s="91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0"/>
      <c r="V31" s="80"/>
      <c r="AE31" s="296"/>
      <c r="AF31" s="183"/>
      <c r="AG31" s="162"/>
      <c r="AH31" s="162"/>
      <c r="AI31" s="162"/>
      <c r="AJ31" s="162"/>
    </row>
    <row r="32" spans="1:36" s="79" customFormat="1" ht="15.95" customHeight="1">
      <c r="A32" s="80"/>
      <c r="B32" s="80"/>
      <c r="C32" s="91"/>
      <c r="D32" s="91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0"/>
      <c r="V32" s="80"/>
      <c r="AE32" s="296"/>
      <c r="AF32" s="183"/>
      <c r="AG32" s="162"/>
      <c r="AH32" s="162"/>
      <c r="AI32" s="162"/>
      <c r="AJ32" s="162"/>
    </row>
    <row r="33" spans="1:36" s="79" customFormat="1" ht="15.95" customHeight="1">
      <c r="A33" s="80"/>
      <c r="B33" s="80"/>
      <c r="C33" s="91"/>
      <c r="D33" s="91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0"/>
      <c r="V33" s="80"/>
      <c r="AE33" s="296"/>
      <c r="AF33" s="183"/>
      <c r="AG33" s="162"/>
      <c r="AH33" s="162"/>
      <c r="AI33" s="162"/>
      <c r="AJ33" s="162"/>
    </row>
    <row r="34" spans="1:36" s="79" customFormat="1" ht="15.9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AE34" s="296"/>
      <c r="AF34" s="183"/>
      <c r="AG34" s="162"/>
      <c r="AH34" s="162"/>
      <c r="AI34" s="162"/>
      <c r="AJ34" s="162"/>
    </row>
    <row r="35" spans="1:36" s="79" customFormat="1" ht="24" customHeight="1">
      <c r="A35" s="80"/>
      <c r="B35" s="80"/>
      <c r="C35" s="272" t="s">
        <v>135</v>
      </c>
      <c r="D35" s="276"/>
      <c r="E35" s="276"/>
      <c r="F35" s="276"/>
      <c r="G35" s="234" t="s">
        <v>27</v>
      </c>
      <c r="H35" s="572">
        <f>AA20+1</f>
        <v>42372</v>
      </c>
      <c r="I35" s="572"/>
      <c r="J35" s="572"/>
      <c r="K35" s="297"/>
      <c r="L35" s="276"/>
      <c r="M35" s="276"/>
      <c r="Q35" s="272" t="s">
        <v>43</v>
      </c>
      <c r="R35" s="276"/>
      <c r="S35" s="275"/>
      <c r="V35" s="298"/>
      <c r="W35" s="298"/>
      <c r="X35" s="298"/>
      <c r="Y35" s="298"/>
      <c r="Z35" s="298"/>
      <c r="AA35" s="299"/>
      <c r="AB35" s="299"/>
      <c r="AC35" s="299"/>
      <c r="AE35" s="296"/>
      <c r="AF35" s="183"/>
      <c r="AG35" s="162"/>
      <c r="AH35" s="162"/>
      <c r="AI35" s="162"/>
      <c r="AJ35" s="162"/>
    </row>
    <row r="36" spans="1:36" s="79" customFormat="1" ht="9.9499999999999993" customHeight="1">
      <c r="A36" s="80"/>
      <c r="B36" s="80"/>
      <c r="C36" s="272"/>
      <c r="D36" s="276"/>
      <c r="E36" s="276"/>
      <c r="F36" s="276"/>
      <c r="G36" s="234"/>
      <c r="H36" s="334"/>
      <c r="I36" s="334"/>
      <c r="J36" s="334"/>
      <c r="K36" s="297"/>
      <c r="L36" s="276"/>
      <c r="M36" s="276"/>
      <c r="N36" s="272"/>
      <c r="O36" s="272"/>
      <c r="P36" s="272"/>
      <c r="Q36" s="272"/>
      <c r="R36" s="276"/>
      <c r="S36" s="275"/>
      <c r="T36" s="275"/>
      <c r="U36" s="275"/>
      <c r="V36" s="275"/>
      <c r="W36" s="275"/>
      <c r="X36" s="275"/>
      <c r="Y36" s="107"/>
      <c r="AE36" s="296"/>
      <c r="AF36" s="183"/>
      <c r="AG36" s="162"/>
      <c r="AH36" s="162"/>
      <c r="AI36" s="162"/>
      <c r="AJ36" s="162"/>
    </row>
    <row r="37" spans="1:36" s="79" customFormat="1" ht="24" customHeight="1">
      <c r="A37" s="132"/>
      <c r="B37" s="132"/>
      <c r="C37" s="272" t="s">
        <v>136</v>
      </c>
      <c r="D37" s="272"/>
      <c r="E37" s="272"/>
      <c r="F37" s="276"/>
      <c r="G37" s="234" t="s">
        <v>27</v>
      </c>
      <c r="H37" s="300" t="str">
        <f>Data!G55</f>
        <v>Ms. Arunkamon Raramanus</v>
      </c>
      <c r="I37" s="276"/>
      <c r="J37" s="301"/>
      <c r="K37" s="276"/>
      <c r="L37" s="276"/>
      <c r="M37" s="276"/>
      <c r="N37" s="276"/>
      <c r="O37" s="276"/>
      <c r="P37" s="302"/>
      <c r="Q37" s="303">
        <v>3</v>
      </c>
      <c r="V37" s="573" t="str">
        <f>IF(Q37=1,"( Mr.Sombut Srikampa )",IF(Q37=3,"( Mr. Natthaphol Boonmee )"))</f>
        <v>( Mr. Natthaphol Boonmee )</v>
      </c>
      <c r="W37" s="573"/>
      <c r="X37" s="573"/>
      <c r="Y37" s="573"/>
      <c r="Z37" s="573"/>
      <c r="AA37" s="573"/>
      <c r="AB37" s="573"/>
      <c r="AC37" s="573"/>
      <c r="AE37" s="296"/>
      <c r="AF37" s="183"/>
      <c r="AG37" s="162"/>
      <c r="AH37" s="162"/>
      <c r="AI37" s="162"/>
      <c r="AJ37" s="162"/>
    </row>
    <row r="38" spans="1:36" s="79" customFormat="1" ht="21" customHeight="1">
      <c r="A38" s="80"/>
      <c r="B38" s="80"/>
      <c r="C38" s="276"/>
      <c r="D38" s="276"/>
      <c r="E38" s="276"/>
      <c r="F38" s="276"/>
      <c r="G38" s="276"/>
      <c r="H38" s="297"/>
      <c r="I38" s="297"/>
      <c r="J38" s="297"/>
      <c r="K38" s="276"/>
      <c r="L38" s="276"/>
      <c r="M38" s="275"/>
      <c r="N38" s="275"/>
      <c r="O38" s="276"/>
      <c r="P38" s="276"/>
      <c r="Q38" s="276"/>
      <c r="V38" s="574" t="s">
        <v>44</v>
      </c>
      <c r="W38" s="574"/>
      <c r="X38" s="574"/>
      <c r="Y38" s="574"/>
      <c r="Z38" s="574"/>
      <c r="AA38" s="574"/>
      <c r="AB38" s="574"/>
      <c r="AC38" s="574"/>
      <c r="AD38" s="305"/>
      <c r="AE38" s="306"/>
      <c r="AF38" s="306"/>
      <c r="AG38" s="306"/>
    </row>
    <row r="39" spans="1:36" s="79" customFormat="1" ht="20.100000000000001" customHeight="1">
      <c r="A39" s="80"/>
      <c r="B39" s="80"/>
      <c r="E39" s="85"/>
      <c r="F39" s="85"/>
      <c r="G39" s="85"/>
      <c r="H39" s="85"/>
      <c r="I39" s="85"/>
      <c r="L39" s="99"/>
      <c r="M39" s="80"/>
      <c r="N39" s="80"/>
      <c r="O39" s="80"/>
      <c r="P39" s="264"/>
      <c r="Q39" s="264"/>
      <c r="R39" s="264"/>
      <c r="S39" s="264"/>
      <c r="T39" s="264"/>
      <c r="U39" s="82"/>
      <c r="V39" s="134"/>
      <c r="W39" s="134"/>
      <c r="X39" s="134"/>
      <c r="Y39" s="134"/>
      <c r="Z39" s="134"/>
      <c r="AA39" s="134"/>
    </row>
    <row r="40" spans="1:36" s="79" customFormat="1" ht="16.5" customHeight="1">
      <c r="A40" s="570"/>
      <c r="B40" s="570"/>
      <c r="C40" s="570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570"/>
      <c r="U40" s="570"/>
      <c r="V40" s="570"/>
      <c r="W40" s="142"/>
    </row>
    <row r="41" spans="1:36" ht="18.75" customHeight="1">
      <c r="C41" s="221"/>
      <c r="D41" s="304"/>
      <c r="T41" s="84">
        <v>1</v>
      </c>
      <c r="U41" s="307" t="s">
        <v>110</v>
      </c>
    </row>
    <row r="42" spans="1:36" ht="18.75" customHeight="1">
      <c r="C42" s="268">
        <v>11</v>
      </c>
      <c r="D42" s="304" t="s">
        <v>80</v>
      </c>
      <c r="T42" s="221">
        <v>3</v>
      </c>
      <c r="U42" s="304" t="s">
        <v>111</v>
      </c>
    </row>
    <row r="43" spans="1:36" ht="18.75" customHeight="1">
      <c r="T43" s="221"/>
      <c r="U43" s="304"/>
    </row>
    <row r="44" spans="1:36" ht="18.75" customHeight="1">
      <c r="T44" s="268"/>
      <c r="U44" s="304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3:AD3"/>
    <mergeCell ref="A40:V40"/>
    <mergeCell ref="J15:L15"/>
    <mergeCell ref="H35:J35"/>
    <mergeCell ref="V37:AC37"/>
    <mergeCell ref="V38:AC38"/>
    <mergeCell ref="AA19:AD19"/>
    <mergeCell ref="AA20:AD20"/>
    <mergeCell ref="AA21:AD21"/>
  </mergeCells>
  <pageMargins left="0.31496062992125984" right="0.31496062992125984" top="0.98425196850393704" bottom="0.19685039370078741" header="0.31496062992125984" footer="0.11811023622047245"/>
  <pageSetup paperSize="9" scale="91" orientation="portrait" horizontalDpi="1200" verticalDpi="120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BF311"/>
  </sheetPr>
  <dimension ref="A1:V42"/>
  <sheetViews>
    <sheetView view="pageBreakPreview" zoomScaleSheetLayoutView="100" workbookViewId="0">
      <selection activeCell="X17" sqref="X17:X18"/>
    </sheetView>
  </sheetViews>
  <sheetFormatPr defaultColWidth="8.85546875" defaultRowHeight="20.25"/>
  <cols>
    <col min="1" max="22" width="4.140625" style="77" customWidth="1"/>
    <col min="257" max="263" width="4.140625" customWidth="1"/>
    <col min="264" max="264" width="3.42578125" customWidth="1"/>
    <col min="265" max="278" width="4.140625" customWidth="1"/>
    <col min="513" max="519" width="4.140625" customWidth="1"/>
    <col min="520" max="520" width="3.42578125" customWidth="1"/>
    <col min="521" max="534" width="4.140625" customWidth="1"/>
    <col min="769" max="775" width="4.140625" customWidth="1"/>
    <col min="776" max="776" width="3.42578125" customWidth="1"/>
    <col min="777" max="790" width="4.140625" customWidth="1"/>
    <col min="1025" max="1031" width="4.140625" customWidth="1"/>
    <col min="1032" max="1032" width="3.42578125" customWidth="1"/>
    <col min="1033" max="1046" width="4.140625" customWidth="1"/>
    <col min="1281" max="1287" width="4.140625" customWidth="1"/>
    <col min="1288" max="1288" width="3.42578125" customWidth="1"/>
    <col min="1289" max="1302" width="4.140625" customWidth="1"/>
    <col min="1537" max="1543" width="4.140625" customWidth="1"/>
    <col min="1544" max="1544" width="3.42578125" customWidth="1"/>
    <col min="1545" max="1558" width="4.140625" customWidth="1"/>
    <col min="1793" max="1799" width="4.140625" customWidth="1"/>
    <col min="1800" max="1800" width="3.42578125" customWidth="1"/>
    <col min="1801" max="1814" width="4.140625" customWidth="1"/>
    <col min="2049" max="2055" width="4.140625" customWidth="1"/>
    <col min="2056" max="2056" width="3.42578125" customWidth="1"/>
    <col min="2057" max="2070" width="4.140625" customWidth="1"/>
    <col min="2305" max="2311" width="4.140625" customWidth="1"/>
    <col min="2312" max="2312" width="3.42578125" customWidth="1"/>
    <col min="2313" max="2326" width="4.140625" customWidth="1"/>
    <col min="2561" max="2567" width="4.140625" customWidth="1"/>
    <col min="2568" max="2568" width="3.42578125" customWidth="1"/>
    <col min="2569" max="2582" width="4.140625" customWidth="1"/>
    <col min="2817" max="2823" width="4.140625" customWidth="1"/>
    <col min="2824" max="2824" width="3.42578125" customWidth="1"/>
    <col min="2825" max="2838" width="4.140625" customWidth="1"/>
    <col min="3073" max="3079" width="4.140625" customWidth="1"/>
    <col min="3080" max="3080" width="3.42578125" customWidth="1"/>
    <col min="3081" max="3094" width="4.140625" customWidth="1"/>
    <col min="3329" max="3335" width="4.140625" customWidth="1"/>
    <col min="3336" max="3336" width="3.42578125" customWidth="1"/>
    <col min="3337" max="3350" width="4.140625" customWidth="1"/>
    <col min="3585" max="3591" width="4.140625" customWidth="1"/>
    <col min="3592" max="3592" width="3.42578125" customWidth="1"/>
    <col min="3593" max="3606" width="4.140625" customWidth="1"/>
    <col min="3841" max="3847" width="4.140625" customWidth="1"/>
    <col min="3848" max="3848" width="3.42578125" customWidth="1"/>
    <col min="3849" max="3862" width="4.140625" customWidth="1"/>
    <col min="4097" max="4103" width="4.140625" customWidth="1"/>
    <col min="4104" max="4104" width="3.42578125" customWidth="1"/>
    <col min="4105" max="4118" width="4.140625" customWidth="1"/>
    <col min="4353" max="4359" width="4.140625" customWidth="1"/>
    <col min="4360" max="4360" width="3.42578125" customWidth="1"/>
    <col min="4361" max="4374" width="4.140625" customWidth="1"/>
    <col min="4609" max="4615" width="4.140625" customWidth="1"/>
    <col min="4616" max="4616" width="3.42578125" customWidth="1"/>
    <col min="4617" max="4630" width="4.140625" customWidth="1"/>
    <col min="4865" max="4871" width="4.140625" customWidth="1"/>
    <col min="4872" max="4872" width="3.42578125" customWidth="1"/>
    <col min="4873" max="4886" width="4.140625" customWidth="1"/>
    <col min="5121" max="5127" width="4.140625" customWidth="1"/>
    <col min="5128" max="5128" width="3.42578125" customWidth="1"/>
    <col min="5129" max="5142" width="4.140625" customWidth="1"/>
    <col min="5377" max="5383" width="4.140625" customWidth="1"/>
    <col min="5384" max="5384" width="3.42578125" customWidth="1"/>
    <col min="5385" max="5398" width="4.140625" customWidth="1"/>
    <col min="5633" max="5639" width="4.140625" customWidth="1"/>
    <col min="5640" max="5640" width="3.42578125" customWidth="1"/>
    <col min="5641" max="5654" width="4.140625" customWidth="1"/>
    <col min="5889" max="5895" width="4.140625" customWidth="1"/>
    <col min="5896" max="5896" width="3.42578125" customWidth="1"/>
    <col min="5897" max="5910" width="4.140625" customWidth="1"/>
    <col min="6145" max="6151" width="4.140625" customWidth="1"/>
    <col min="6152" max="6152" width="3.42578125" customWidth="1"/>
    <col min="6153" max="6166" width="4.140625" customWidth="1"/>
    <col min="6401" max="6407" width="4.140625" customWidth="1"/>
    <col min="6408" max="6408" width="3.42578125" customWidth="1"/>
    <col min="6409" max="6422" width="4.140625" customWidth="1"/>
    <col min="6657" max="6663" width="4.140625" customWidth="1"/>
    <col min="6664" max="6664" width="3.42578125" customWidth="1"/>
    <col min="6665" max="6678" width="4.140625" customWidth="1"/>
    <col min="6913" max="6919" width="4.140625" customWidth="1"/>
    <col min="6920" max="6920" width="3.42578125" customWidth="1"/>
    <col min="6921" max="6934" width="4.140625" customWidth="1"/>
    <col min="7169" max="7175" width="4.140625" customWidth="1"/>
    <col min="7176" max="7176" width="3.42578125" customWidth="1"/>
    <col min="7177" max="7190" width="4.140625" customWidth="1"/>
    <col min="7425" max="7431" width="4.140625" customWidth="1"/>
    <col min="7432" max="7432" width="3.42578125" customWidth="1"/>
    <col min="7433" max="7446" width="4.140625" customWidth="1"/>
    <col min="7681" max="7687" width="4.140625" customWidth="1"/>
    <col min="7688" max="7688" width="3.42578125" customWidth="1"/>
    <col min="7689" max="7702" width="4.140625" customWidth="1"/>
    <col min="7937" max="7943" width="4.140625" customWidth="1"/>
    <col min="7944" max="7944" width="3.42578125" customWidth="1"/>
    <col min="7945" max="7958" width="4.140625" customWidth="1"/>
    <col min="8193" max="8199" width="4.140625" customWidth="1"/>
    <col min="8200" max="8200" width="3.42578125" customWidth="1"/>
    <col min="8201" max="8214" width="4.140625" customWidth="1"/>
    <col min="8449" max="8455" width="4.140625" customWidth="1"/>
    <col min="8456" max="8456" width="3.42578125" customWidth="1"/>
    <col min="8457" max="8470" width="4.140625" customWidth="1"/>
    <col min="8705" max="8711" width="4.140625" customWidth="1"/>
    <col min="8712" max="8712" width="3.42578125" customWidth="1"/>
    <col min="8713" max="8726" width="4.140625" customWidth="1"/>
    <col min="8961" max="8967" width="4.140625" customWidth="1"/>
    <col min="8968" max="8968" width="3.42578125" customWidth="1"/>
    <col min="8969" max="8982" width="4.140625" customWidth="1"/>
    <col min="9217" max="9223" width="4.140625" customWidth="1"/>
    <col min="9224" max="9224" width="3.42578125" customWidth="1"/>
    <col min="9225" max="9238" width="4.140625" customWidth="1"/>
    <col min="9473" max="9479" width="4.140625" customWidth="1"/>
    <col min="9480" max="9480" width="3.42578125" customWidth="1"/>
    <col min="9481" max="9494" width="4.140625" customWidth="1"/>
    <col min="9729" max="9735" width="4.140625" customWidth="1"/>
    <col min="9736" max="9736" width="3.42578125" customWidth="1"/>
    <col min="9737" max="9750" width="4.140625" customWidth="1"/>
    <col min="9985" max="9991" width="4.140625" customWidth="1"/>
    <col min="9992" max="9992" width="3.42578125" customWidth="1"/>
    <col min="9993" max="10006" width="4.140625" customWidth="1"/>
    <col min="10241" max="10247" width="4.140625" customWidth="1"/>
    <col min="10248" max="10248" width="3.42578125" customWidth="1"/>
    <col min="10249" max="10262" width="4.140625" customWidth="1"/>
    <col min="10497" max="10503" width="4.140625" customWidth="1"/>
    <col min="10504" max="10504" width="3.42578125" customWidth="1"/>
    <col min="10505" max="10518" width="4.140625" customWidth="1"/>
    <col min="10753" max="10759" width="4.140625" customWidth="1"/>
    <col min="10760" max="10760" width="3.42578125" customWidth="1"/>
    <col min="10761" max="10774" width="4.140625" customWidth="1"/>
    <col min="11009" max="11015" width="4.140625" customWidth="1"/>
    <col min="11016" max="11016" width="3.42578125" customWidth="1"/>
    <col min="11017" max="11030" width="4.140625" customWidth="1"/>
    <col min="11265" max="11271" width="4.140625" customWidth="1"/>
    <col min="11272" max="11272" width="3.42578125" customWidth="1"/>
    <col min="11273" max="11286" width="4.140625" customWidth="1"/>
    <col min="11521" max="11527" width="4.140625" customWidth="1"/>
    <col min="11528" max="11528" width="3.42578125" customWidth="1"/>
    <col min="11529" max="11542" width="4.140625" customWidth="1"/>
    <col min="11777" max="11783" width="4.140625" customWidth="1"/>
    <col min="11784" max="11784" width="3.42578125" customWidth="1"/>
    <col min="11785" max="11798" width="4.140625" customWidth="1"/>
    <col min="12033" max="12039" width="4.140625" customWidth="1"/>
    <col min="12040" max="12040" width="3.42578125" customWidth="1"/>
    <col min="12041" max="12054" width="4.140625" customWidth="1"/>
    <col min="12289" max="12295" width="4.140625" customWidth="1"/>
    <col min="12296" max="12296" width="3.42578125" customWidth="1"/>
    <col min="12297" max="12310" width="4.140625" customWidth="1"/>
    <col min="12545" max="12551" width="4.140625" customWidth="1"/>
    <col min="12552" max="12552" width="3.42578125" customWidth="1"/>
    <col min="12553" max="12566" width="4.140625" customWidth="1"/>
    <col min="12801" max="12807" width="4.140625" customWidth="1"/>
    <col min="12808" max="12808" width="3.42578125" customWidth="1"/>
    <col min="12809" max="12822" width="4.140625" customWidth="1"/>
    <col min="13057" max="13063" width="4.140625" customWidth="1"/>
    <col min="13064" max="13064" width="3.42578125" customWidth="1"/>
    <col min="13065" max="13078" width="4.140625" customWidth="1"/>
    <col min="13313" max="13319" width="4.140625" customWidth="1"/>
    <col min="13320" max="13320" width="3.42578125" customWidth="1"/>
    <col min="13321" max="13334" width="4.140625" customWidth="1"/>
    <col min="13569" max="13575" width="4.140625" customWidth="1"/>
    <col min="13576" max="13576" width="3.42578125" customWidth="1"/>
    <col min="13577" max="13590" width="4.140625" customWidth="1"/>
    <col min="13825" max="13831" width="4.140625" customWidth="1"/>
    <col min="13832" max="13832" width="3.42578125" customWidth="1"/>
    <col min="13833" max="13846" width="4.140625" customWidth="1"/>
    <col min="14081" max="14087" width="4.140625" customWidth="1"/>
    <col min="14088" max="14088" width="3.42578125" customWidth="1"/>
    <col min="14089" max="14102" width="4.140625" customWidth="1"/>
    <col min="14337" max="14343" width="4.140625" customWidth="1"/>
    <col min="14344" max="14344" width="3.42578125" customWidth="1"/>
    <col min="14345" max="14358" width="4.140625" customWidth="1"/>
    <col min="14593" max="14599" width="4.140625" customWidth="1"/>
    <col min="14600" max="14600" width="3.42578125" customWidth="1"/>
    <col min="14601" max="14614" width="4.140625" customWidth="1"/>
    <col min="14849" max="14855" width="4.140625" customWidth="1"/>
    <col min="14856" max="14856" width="3.42578125" customWidth="1"/>
    <col min="14857" max="14870" width="4.140625" customWidth="1"/>
    <col min="15105" max="15111" width="4.140625" customWidth="1"/>
    <col min="15112" max="15112" width="3.42578125" customWidth="1"/>
    <col min="15113" max="15126" width="4.140625" customWidth="1"/>
    <col min="15361" max="15367" width="4.140625" customWidth="1"/>
    <col min="15368" max="15368" width="3.42578125" customWidth="1"/>
    <col min="15369" max="15382" width="4.140625" customWidth="1"/>
    <col min="15617" max="15623" width="4.140625" customWidth="1"/>
    <col min="15624" max="15624" width="3.42578125" customWidth="1"/>
    <col min="15625" max="15638" width="4.140625" customWidth="1"/>
    <col min="15873" max="15879" width="4.140625" customWidth="1"/>
    <col min="15880" max="15880" width="3.42578125" customWidth="1"/>
    <col min="15881" max="15894" width="4.140625" customWidth="1"/>
    <col min="16129" max="16135" width="4.140625" customWidth="1"/>
    <col min="16136" max="16136" width="3.42578125" customWidth="1"/>
    <col min="16137" max="16150" width="4.140625" customWidth="1"/>
  </cols>
  <sheetData>
    <row r="1" spans="1:22" ht="21.75" customHeight="1"/>
    <row r="2" spans="1:22" ht="13.5" customHeight="1"/>
    <row r="3" spans="1:22" ht="34.5" customHeight="1">
      <c r="A3" s="578" t="s">
        <v>45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578"/>
      <c r="R3" s="578"/>
      <c r="S3" s="578"/>
      <c r="T3" s="578"/>
      <c r="U3" s="578"/>
      <c r="V3" s="578"/>
    </row>
    <row r="4" spans="1:22" ht="18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</row>
    <row r="5" spans="1:22" ht="17.25" customHeight="1">
      <c r="A5" s="80"/>
      <c r="B5" s="226" t="s">
        <v>26</v>
      </c>
      <c r="C5" s="226"/>
      <c r="D5" s="227"/>
      <c r="E5" s="226"/>
      <c r="G5" s="228" t="s">
        <v>27</v>
      </c>
      <c r="H5" s="85" t="str">
        <f>Certificate!J5</f>
        <v>SPR16010011-1</v>
      </c>
      <c r="I5" s="86"/>
      <c r="J5" s="86"/>
      <c r="K5" s="86"/>
      <c r="L5" s="85"/>
      <c r="M5" s="85"/>
      <c r="N5" s="85"/>
      <c r="O5" s="85"/>
      <c r="P5" s="86"/>
      <c r="Q5" s="86"/>
      <c r="T5" s="227" t="s">
        <v>113</v>
      </c>
      <c r="U5" s="227"/>
      <c r="V5" s="227"/>
    </row>
    <row r="6" spans="1:22" ht="18" customHeight="1">
      <c r="A6" s="80"/>
      <c r="B6" s="87"/>
      <c r="C6" s="83"/>
      <c r="D6" s="83"/>
      <c r="E6" s="82"/>
      <c r="F6" s="88"/>
      <c r="G6" s="88"/>
      <c r="H6" s="88"/>
      <c r="I6" s="89"/>
      <c r="J6" s="90"/>
      <c r="K6" s="91"/>
      <c r="L6" s="90"/>
      <c r="M6" s="90"/>
      <c r="N6" s="85"/>
      <c r="O6" s="85"/>
      <c r="P6" s="86"/>
      <c r="Q6" s="86"/>
      <c r="R6" s="86"/>
      <c r="V6" s="79"/>
    </row>
    <row r="7" spans="1:22" ht="17.25" customHeight="1">
      <c r="A7" s="80"/>
      <c r="B7" s="92"/>
      <c r="C7" s="93"/>
      <c r="D7" s="83"/>
      <c r="E7" s="83"/>
      <c r="F7" s="83"/>
      <c r="G7" s="83"/>
      <c r="H7" s="83"/>
      <c r="I7" s="84"/>
      <c r="J7" s="94"/>
      <c r="K7" s="91"/>
      <c r="L7" s="95"/>
      <c r="M7" s="95"/>
      <c r="N7" s="96"/>
      <c r="O7" s="96"/>
      <c r="P7" s="96"/>
      <c r="Q7" s="96"/>
      <c r="R7" s="96"/>
      <c r="S7" s="96"/>
      <c r="T7" s="97"/>
      <c r="U7" s="97"/>
      <c r="V7" s="98"/>
    </row>
    <row r="8" spans="1:22" ht="13.5" customHeight="1">
      <c r="A8" s="80"/>
      <c r="B8" s="87"/>
      <c r="C8" s="93"/>
      <c r="D8" s="93"/>
      <c r="E8" s="83"/>
      <c r="F8" s="83"/>
      <c r="G8" s="577" t="s">
        <v>129</v>
      </c>
      <c r="H8" s="577"/>
      <c r="I8" s="577"/>
      <c r="J8" s="577"/>
      <c r="K8" s="577"/>
      <c r="L8" s="577"/>
      <c r="M8" s="577"/>
      <c r="N8" s="577"/>
      <c r="O8" s="577"/>
      <c r="P8" s="577"/>
      <c r="Q8" s="96"/>
      <c r="R8" s="96"/>
      <c r="S8" s="96"/>
      <c r="T8" s="96"/>
      <c r="U8" s="97"/>
      <c r="V8" s="98"/>
    </row>
    <row r="9" spans="1:22" ht="13.5" customHeight="1">
      <c r="A9" s="80"/>
      <c r="B9" s="87"/>
      <c r="C9" s="93"/>
      <c r="D9" s="93"/>
      <c r="E9" s="83"/>
      <c r="F9" s="83"/>
      <c r="G9" s="577"/>
      <c r="H9" s="577"/>
      <c r="I9" s="577"/>
      <c r="J9" s="577"/>
      <c r="K9" s="577"/>
      <c r="L9" s="577"/>
      <c r="M9" s="577"/>
      <c r="N9" s="577"/>
      <c r="O9" s="577"/>
      <c r="P9" s="577"/>
      <c r="Q9" s="96"/>
      <c r="R9" s="96"/>
      <c r="S9" s="96"/>
      <c r="T9" s="96"/>
      <c r="U9" s="97"/>
      <c r="V9" s="98"/>
    </row>
    <row r="10" spans="1:22" ht="18.75" customHeight="1">
      <c r="A10" s="99"/>
      <c r="B10" s="100"/>
      <c r="C10" s="101"/>
      <c r="D10" s="101"/>
      <c r="E10" s="101"/>
      <c r="F10" s="101"/>
      <c r="G10" s="102"/>
      <c r="H10" s="103"/>
      <c r="I10" s="104"/>
      <c r="J10" s="104"/>
      <c r="K10" s="104"/>
      <c r="L10" s="104"/>
      <c r="M10" s="104"/>
      <c r="N10" s="105"/>
      <c r="O10" s="105"/>
      <c r="P10" s="105"/>
      <c r="Q10" s="106"/>
      <c r="R10" s="99"/>
      <c r="S10" s="110"/>
      <c r="T10" s="98"/>
      <c r="U10" s="107"/>
      <c r="V10" s="108"/>
    </row>
    <row r="11" spans="1:22" ht="23.1" customHeight="1">
      <c r="A11" s="80"/>
      <c r="B11" s="597" t="s">
        <v>29</v>
      </c>
      <c r="C11" s="595"/>
      <c r="D11" s="595"/>
      <c r="E11" s="595"/>
      <c r="F11" s="595"/>
      <c r="G11" s="596"/>
      <c r="H11" s="597" t="s">
        <v>31</v>
      </c>
      <c r="I11" s="595"/>
      <c r="J11" s="596"/>
      <c r="K11" s="597" t="s">
        <v>46</v>
      </c>
      <c r="L11" s="595"/>
      <c r="M11" s="596"/>
      <c r="N11" s="597" t="s">
        <v>47</v>
      </c>
      <c r="O11" s="595"/>
      <c r="P11" s="595"/>
      <c r="Q11" s="596"/>
      <c r="R11" s="595" t="s">
        <v>48</v>
      </c>
      <c r="S11" s="595"/>
      <c r="T11" s="595"/>
      <c r="U11" s="596"/>
      <c r="V11" s="79"/>
    </row>
    <row r="12" spans="1:22" ht="23.1" customHeight="1">
      <c r="A12" s="80"/>
      <c r="B12" s="584" t="s">
        <v>116</v>
      </c>
      <c r="C12" s="585"/>
      <c r="D12" s="585"/>
      <c r="E12" s="585"/>
      <c r="F12" s="585"/>
      <c r="G12" s="585"/>
      <c r="H12" s="586" t="s">
        <v>109</v>
      </c>
      <c r="I12" s="587"/>
      <c r="J12" s="588"/>
      <c r="K12" s="586">
        <v>60711</v>
      </c>
      <c r="L12" s="587"/>
      <c r="M12" s="588"/>
      <c r="N12" s="589" t="s">
        <v>117</v>
      </c>
      <c r="O12" s="590"/>
      <c r="P12" s="590"/>
      <c r="Q12" s="591"/>
      <c r="R12" s="592">
        <v>42336</v>
      </c>
      <c r="S12" s="593"/>
      <c r="T12" s="593"/>
      <c r="U12" s="594"/>
      <c r="V12" s="114"/>
    </row>
    <row r="13" spans="1:22" ht="18" customHeight="1">
      <c r="A13" s="80"/>
      <c r="B13" s="240"/>
      <c r="C13" s="241"/>
      <c r="D13" s="241"/>
      <c r="E13" s="241"/>
      <c r="F13" s="241"/>
      <c r="G13" s="241"/>
      <c r="H13" s="242"/>
      <c r="I13" s="242"/>
      <c r="J13" s="242"/>
      <c r="K13" s="242"/>
      <c r="L13" s="242"/>
      <c r="M13" s="242"/>
      <c r="N13" s="243"/>
      <c r="O13" s="243"/>
      <c r="P13" s="243"/>
      <c r="Q13" s="243"/>
      <c r="R13" s="244"/>
      <c r="S13" s="244"/>
      <c r="T13" s="244"/>
      <c r="U13" s="244"/>
      <c r="V13" s="79"/>
    </row>
    <row r="14" spans="1:22" ht="18" customHeight="1">
      <c r="A14" s="80"/>
      <c r="B14" s="237" t="s">
        <v>49</v>
      </c>
      <c r="C14" s="135"/>
      <c r="D14" s="86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12"/>
      <c r="Q14" s="86"/>
      <c r="R14" s="86"/>
      <c r="S14" s="80"/>
      <c r="T14" s="80"/>
      <c r="U14" s="80"/>
      <c r="V14" s="79"/>
    </row>
    <row r="15" spans="1:22" ht="18" customHeight="1">
      <c r="A15" s="80"/>
      <c r="B15" s="86"/>
      <c r="C15" s="86" t="s">
        <v>50</v>
      </c>
      <c r="D15" s="220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112"/>
      <c r="Q15" s="112"/>
      <c r="R15" s="112"/>
      <c r="S15" s="113"/>
      <c r="T15" s="116"/>
      <c r="U15" s="80"/>
      <c r="V15" s="114"/>
    </row>
    <row r="16" spans="1:22" ht="18" customHeight="1">
      <c r="A16" s="80"/>
      <c r="B16" s="129" t="s">
        <v>114</v>
      </c>
      <c r="C16" s="220"/>
      <c r="D16" s="227"/>
      <c r="E16" s="220"/>
      <c r="F16" s="220"/>
      <c r="G16" s="220"/>
      <c r="H16" s="220"/>
      <c r="I16" s="86"/>
      <c r="J16" s="86"/>
      <c r="K16" s="86"/>
      <c r="L16" s="86"/>
      <c r="M16" s="86"/>
      <c r="N16" s="86"/>
      <c r="O16" s="86"/>
      <c r="P16" s="112"/>
      <c r="Q16" s="112"/>
      <c r="R16" s="117"/>
      <c r="S16" s="80"/>
      <c r="T16" s="113"/>
      <c r="U16" s="80"/>
      <c r="V16" s="79"/>
    </row>
    <row r="17" spans="1:22" ht="18" customHeight="1">
      <c r="A17" s="80"/>
      <c r="B17" s="129" t="s">
        <v>115</v>
      </c>
      <c r="E17" s="118"/>
      <c r="F17" s="83"/>
      <c r="G17" s="83"/>
      <c r="H17" s="83"/>
      <c r="I17" s="111"/>
      <c r="J17" s="245"/>
      <c r="K17" s="246"/>
      <c r="L17" s="246"/>
      <c r="M17" s="246"/>
      <c r="N17" s="79"/>
      <c r="O17" s="112"/>
      <c r="P17" s="112"/>
      <c r="Q17" s="112"/>
      <c r="R17" s="117"/>
      <c r="S17" s="80"/>
      <c r="T17" s="113"/>
      <c r="U17" s="80"/>
      <c r="V17" s="79"/>
    </row>
    <row r="18" spans="1:22" ht="18" customHeight="1">
      <c r="A18" s="80"/>
      <c r="B18" s="115"/>
      <c r="C18" s="109"/>
      <c r="D18" s="83"/>
      <c r="E18" s="119"/>
      <c r="F18" s="83"/>
      <c r="G18" s="83"/>
      <c r="H18" s="83"/>
      <c r="I18" s="111"/>
      <c r="J18" s="583"/>
      <c r="K18" s="582"/>
      <c r="L18" s="582"/>
      <c r="M18" s="582"/>
      <c r="N18" s="79"/>
      <c r="O18" s="112"/>
      <c r="P18" s="112"/>
      <c r="Q18" s="112"/>
      <c r="R18" s="117"/>
      <c r="S18" s="80"/>
      <c r="T18" s="113"/>
      <c r="U18" s="80"/>
      <c r="V18" s="79"/>
    </row>
    <row r="19" spans="1:22" ht="18" customHeight="1">
      <c r="A19" s="80"/>
      <c r="B19" s="81"/>
      <c r="C19" s="109"/>
      <c r="D19" s="83"/>
      <c r="E19" s="82"/>
      <c r="F19" s="83"/>
      <c r="G19" s="83"/>
      <c r="H19" s="83"/>
      <c r="I19" s="111"/>
      <c r="J19" s="582"/>
      <c r="K19" s="582"/>
      <c r="L19" s="582"/>
      <c r="M19" s="582"/>
      <c r="N19" s="79"/>
      <c r="O19" s="112"/>
      <c r="P19" s="112"/>
      <c r="Q19" s="112"/>
      <c r="R19" s="117"/>
      <c r="S19" s="80"/>
      <c r="T19" s="113"/>
      <c r="U19" s="80"/>
      <c r="V19" s="79"/>
    </row>
    <row r="20" spans="1:22" ht="18" customHeight="1">
      <c r="A20" s="80"/>
      <c r="B20" s="81"/>
      <c r="C20" s="109"/>
      <c r="D20" s="83"/>
      <c r="E20" s="82"/>
      <c r="F20" s="83"/>
      <c r="G20" s="109"/>
      <c r="H20" s="120"/>
      <c r="I20" s="121"/>
      <c r="J20" s="121"/>
      <c r="K20" s="121"/>
      <c r="L20" s="94"/>
      <c r="M20" s="94"/>
      <c r="N20" s="79"/>
      <c r="O20" s="112"/>
      <c r="P20" s="117"/>
      <c r="Q20" s="80"/>
      <c r="R20" s="113"/>
      <c r="S20" s="80"/>
      <c r="T20" s="79"/>
      <c r="U20" s="79"/>
      <c r="V20" s="79"/>
    </row>
    <row r="21" spans="1:22" ht="18" customHeight="1">
      <c r="A21" s="80"/>
      <c r="B21" s="92"/>
      <c r="C21" s="93"/>
      <c r="D21" s="93"/>
      <c r="E21" s="93"/>
      <c r="F21" s="93"/>
      <c r="G21" s="93"/>
      <c r="H21" s="122"/>
      <c r="I21" s="221"/>
      <c r="J21" s="94"/>
      <c r="K21" s="94"/>
      <c r="L21" s="123"/>
      <c r="M21" s="91"/>
      <c r="N21" s="79"/>
      <c r="O21" s="124"/>
      <c r="P21" s="124"/>
      <c r="Q21" s="80"/>
      <c r="R21" s="80"/>
      <c r="S21" s="80"/>
      <c r="T21" s="79"/>
      <c r="U21" s="79"/>
      <c r="V21" s="79"/>
    </row>
    <row r="22" spans="1:22" ht="18" customHeight="1">
      <c r="A22" s="80"/>
      <c r="B22" s="92"/>
      <c r="C22" s="93"/>
      <c r="D22" s="93"/>
      <c r="E22" s="93"/>
      <c r="F22" s="83"/>
      <c r="G22" s="83"/>
      <c r="H22" s="83"/>
      <c r="I22" s="84"/>
      <c r="J22" s="125"/>
      <c r="K22" s="91"/>
      <c r="L22" s="91"/>
      <c r="M22" s="91"/>
      <c r="N22" s="79"/>
      <c r="O22" s="86"/>
      <c r="P22" s="86"/>
      <c r="Q22" s="86"/>
      <c r="R22" s="86"/>
      <c r="S22" s="80"/>
      <c r="T22" s="80"/>
      <c r="U22" s="80"/>
      <c r="V22" s="79"/>
    </row>
    <row r="23" spans="1:22" ht="18" customHeight="1">
      <c r="A23" s="80"/>
      <c r="B23" s="92"/>
      <c r="C23" s="82"/>
      <c r="D23" s="82"/>
      <c r="E23" s="82"/>
      <c r="F23" s="83"/>
      <c r="G23" s="83"/>
      <c r="H23" s="83"/>
      <c r="I23" s="126"/>
      <c r="J23" s="125"/>
      <c r="K23" s="91"/>
      <c r="L23" s="91"/>
      <c r="M23" s="91"/>
      <c r="N23" s="79"/>
      <c r="O23" s="86"/>
      <c r="P23" s="86"/>
      <c r="Q23" s="86"/>
      <c r="R23" s="86"/>
      <c r="S23" s="80"/>
      <c r="T23" s="80"/>
      <c r="U23" s="80"/>
      <c r="V23" s="107"/>
    </row>
    <row r="24" spans="1:22" ht="18" customHeight="1">
      <c r="A24" s="80"/>
      <c r="B24" s="92"/>
      <c r="C24" s="82"/>
      <c r="D24" s="82"/>
      <c r="E24" s="82"/>
      <c r="F24" s="83"/>
      <c r="G24" s="83"/>
      <c r="H24" s="83"/>
      <c r="I24" s="126"/>
      <c r="J24" s="125"/>
      <c r="K24" s="91"/>
      <c r="L24" s="91"/>
      <c r="M24" s="91"/>
      <c r="N24" s="79"/>
      <c r="O24" s="86"/>
      <c r="P24" s="86"/>
      <c r="Q24" s="86"/>
      <c r="R24" s="86"/>
      <c r="S24" s="80"/>
      <c r="T24" s="80"/>
      <c r="U24" s="80"/>
      <c r="V24" s="107"/>
    </row>
    <row r="25" spans="1:22" ht="18" customHeight="1">
      <c r="A25" s="80"/>
      <c r="B25" s="87"/>
      <c r="C25" s="83"/>
      <c r="D25" s="82"/>
      <c r="E25" s="82"/>
      <c r="F25" s="82"/>
      <c r="G25" s="82"/>
      <c r="H25" s="88"/>
      <c r="I25" s="91"/>
      <c r="J25" s="91"/>
      <c r="K25" s="91"/>
      <c r="L25" s="91"/>
      <c r="M25" s="91"/>
      <c r="N25" s="113"/>
      <c r="O25" s="80"/>
      <c r="P25" s="80"/>
      <c r="Q25" s="80"/>
      <c r="R25" s="80"/>
      <c r="S25" s="80"/>
      <c r="T25" s="80"/>
      <c r="U25" s="107"/>
      <c r="V25" s="107"/>
    </row>
    <row r="26" spans="1:22" ht="18" customHeight="1">
      <c r="A26" s="99"/>
      <c r="B26" s="81"/>
      <c r="C26" s="83"/>
      <c r="D26" s="82"/>
      <c r="E26" s="82"/>
      <c r="F26" s="82"/>
      <c r="G26" s="82"/>
      <c r="H26" s="127"/>
      <c r="I26" s="128"/>
      <c r="J26" s="127"/>
      <c r="K26" s="127"/>
      <c r="L26" s="127"/>
      <c r="M26" s="128"/>
      <c r="N26" s="127"/>
      <c r="O26" s="127"/>
      <c r="P26" s="127"/>
      <c r="Q26" s="127"/>
      <c r="R26" s="127"/>
      <c r="S26" s="127"/>
      <c r="T26" s="128"/>
      <c r="U26" s="79"/>
      <c r="V26" s="79"/>
    </row>
    <row r="27" spans="1:22" ht="18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136"/>
    </row>
    <row r="28" spans="1:22" ht="18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136"/>
    </row>
    <row r="29" spans="1:22" ht="18" customHeight="1">
      <c r="A29" s="80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1"/>
    </row>
    <row r="30" spans="1:22" ht="18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130"/>
      <c r="Q30" s="130"/>
      <c r="R30" s="130"/>
      <c r="S30" s="130"/>
      <c r="T30" s="130"/>
      <c r="U30" s="131"/>
      <c r="V30" s="131"/>
    </row>
    <row r="31" spans="1:22" ht="18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6"/>
      <c r="Q31" s="86"/>
      <c r="R31" s="86"/>
      <c r="S31" s="86"/>
      <c r="T31" s="80"/>
      <c r="U31" s="79"/>
      <c r="V31" s="79"/>
    </row>
    <row r="32" spans="1:22" ht="18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6"/>
      <c r="Q32" s="86"/>
      <c r="R32" s="86"/>
      <c r="S32" s="86"/>
      <c r="T32" s="80"/>
      <c r="U32" s="79"/>
      <c r="V32" s="79"/>
    </row>
    <row r="33" spans="1:22" ht="18" customHeight="1">
      <c r="A33" s="80"/>
      <c r="B33" s="129"/>
      <c r="C33" s="220"/>
      <c r="D33" s="220"/>
      <c r="E33" s="220"/>
      <c r="F33" s="220"/>
      <c r="G33" s="220"/>
      <c r="H33" s="220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0"/>
      <c r="U33" s="79"/>
      <c r="V33" s="79"/>
    </row>
    <row r="34" spans="1:22" ht="18" customHeight="1">
      <c r="A34" s="80"/>
      <c r="B34" s="81"/>
      <c r="C34" s="137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99"/>
      <c r="U34" s="79"/>
      <c r="V34" s="79"/>
    </row>
    <row r="35" spans="1:22" ht="18" customHeight="1">
      <c r="A35" s="80"/>
      <c r="B35" s="90"/>
      <c r="C35" s="90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99"/>
      <c r="T35" s="99"/>
      <c r="U35" s="79"/>
      <c r="V35" s="79"/>
    </row>
    <row r="36" spans="1:22" ht="18" customHeight="1">
      <c r="A36" s="80"/>
      <c r="B36" s="138"/>
      <c r="C36" s="222"/>
      <c r="D36" s="220"/>
      <c r="E36" s="220"/>
      <c r="F36" s="220"/>
      <c r="G36" s="220"/>
      <c r="H36" s="220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99"/>
      <c r="T36" s="99"/>
      <c r="U36" s="79"/>
      <c r="V36" s="79"/>
    </row>
    <row r="37" spans="1:22" ht="18" customHeight="1">
      <c r="A37" s="80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79"/>
      <c r="V37" s="79"/>
    </row>
    <row r="38" spans="1:22" ht="18" customHeight="1">
      <c r="A38" s="80"/>
      <c r="B38" s="81"/>
      <c r="C38" s="107"/>
      <c r="D38" s="107"/>
      <c r="E38" s="107"/>
      <c r="F38" s="579"/>
      <c r="G38" s="579"/>
      <c r="H38" s="579"/>
      <c r="I38" s="579"/>
      <c r="J38" s="139"/>
      <c r="K38" s="107"/>
      <c r="L38" s="580"/>
      <c r="M38" s="580"/>
      <c r="N38" s="580"/>
      <c r="O38" s="580"/>
      <c r="P38" s="85"/>
      <c r="Q38" s="85"/>
      <c r="R38" s="85"/>
      <c r="S38" s="85"/>
      <c r="T38" s="85"/>
      <c r="U38" s="79"/>
      <c r="V38" s="79"/>
    </row>
    <row r="39" spans="1:22" ht="18" customHeight="1">
      <c r="A39" s="132"/>
      <c r="B39" s="107"/>
      <c r="C39" s="107"/>
      <c r="D39" s="107"/>
      <c r="E39" s="107"/>
      <c r="F39" s="90"/>
      <c r="G39" s="90"/>
      <c r="H39" s="90"/>
      <c r="I39" s="222"/>
      <c r="J39" s="99"/>
      <c r="K39" s="107"/>
      <c r="L39" s="99"/>
      <c r="M39" s="99"/>
      <c r="N39" s="133"/>
      <c r="O39" s="140"/>
      <c r="P39" s="222"/>
      <c r="Q39" s="222"/>
      <c r="R39" s="222"/>
      <c r="S39" s="222"/>
      <c r="T39" s="222"/>
      <c r="U39" s="134"/>
      <c r="V39" s="134"/>
    </row>
    <row r="40" spans="1:22" ht="18" customHeight="1">
      <c r="A40" s="80"/>
      <c r="B40" s="81"/>
      <c r="C40" s="82"/>
      <c r="D40" s="82"/>
      <c r="E40" s="107"/>
      <c r="F40" s="90"/>
      <c r="G40" s="141"/>
      <c r="H40" s="141"/>
      <c r="I40" s="141"/>
      <c r="J40" s="107"/>
      <c r="K40" s="107"/>
      <c r="L40" s="99"/>
      <c r="M40" s="99"/>
      <c r="N40" s="99"/>
      <c r="O40" s="99"/>
      <c r="P40" s="581"/>
      <c r="Q40" s="581"/>
      <c r="R40" s="581"/>
      <c r="S40" s="581"/>
      <c r="T40" s="581"/>
      <c r="U40" s="134"/>
      <c r="V40" s="134"/>
    </row>
    <row r="41" spans="1:22" ht="16.5" customHeight="1">
      <c r="A41" s="80"/>
      <c r="B41" s="79"/>
      <c r="C41" s="79"/>
      <c r="D41" s="598"/>
      <c r="E41" s="598"/>
      <c r="F41" s="598"/>
      <c r="G41" s="598"/>
      <c r="H41" s="598"/>
      <c r="I41" s="79"/>
      <c r="J41" s="79"/>
      <c r="K41" s="99"/>
      <c r="L41" s="80"/>
      <c r="M41" s="80"/>
      <c r="N41" s="135"/>
      <c r="O41" s="135"/>
      <c r="P41" s="135"/>
      <c r="Q41" s="135"/>
      <c r="R41" s="135"/>
      <c r="S41" s="82"/>
      <c r="T41" s="134"/>
      <c r="U41" s="134"/>
      <c r="V41" s="134"/>
    </row>
    <row r="42" spans="1:22" ht="15">
      <c r="A42" s="570"/>
      <c r="B42" s="570"/>
      <c r="C42" s="570"/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142"/>
      <c r="V42" s="79"/>
    </row>
  </sheetData>
  <mergeCells count="19">
    <mergeCell ref="N11:Q11"/>
    <mergeCell ref="A42:T42"/>
    <mergeCell ref="D41:H41"/>
    <mergeCell ref="G8:P9"/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B11:G11"/>
    <mergeCell ref="H11:J11"/>
    <mergeCell ref="K11:M1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BF311"/>
  </sheetPr>
  <dimension ref="A1:X205"/>
  <sheetViews>
    <sheetView view="pageBreakPreview" zoomScaleSheetLayoutView="100" workbookViewId="0">
      <selection activeCell="P13" sqref="P13:S13"/>
    </sheetView>
  </sheetViews>
  <sheetFormatPr defaultColWidth="8.85546875" defaultRowHeight="15"/>
  <cols>
    <col min="1" max="22" width="4.140625" customWidth="1"/>
    <col min="23" max="44" width="4.42578125" customWidth="1"/>
  </cols>
  <sheetData>
    <row r="1" spans="1:22" ht="13.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</row>
    <row r="2" spans="1:22" ht="21.7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</row>
    <row r="3" spans="1:22" ht="34.5" customHeight="1">
      <c r="A3" s="630" t="s">
        <v>51</v>
      </c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</row>
    <row r="4" spans="1:22" ht="18.75" customHeight="1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</row>
    <row r="5" spans="1:22" ht="17.25" customHeight="1">
      <c r="A5" s="144"/>
      <c r="B5" s="148" t="s">
        <v>81</v>
      </c>
      <c r="C5" s="148"/>
      <c r="D5" s="148"/>
      <c r="F5" s="335" t="str">
        <f>Report!H5</f>
        <v>SPR16010011-1</v>
      </c>
      <c r="H5" s="335"/>
      <c r="I5" s="335"/>
      <c r="J5" s="335"/>
      <c r="K5" s="143"/>
      <c r="L5" s="143"/>
      <c r="M5" s="143"/>
      <c r="N5" s="144"/>
      <c r="O5" s="144"/>
      <c r="P5" s="144"/>
      <c r="Q5" s="144"/>
      <c r="S5" s="146" t="s">
        <v>122</v>
      </c>
      <c r="T5" s="146"/>
      <c r="U5" s="144"/>
    </row>
    <row r="6" spans="1:22" ht="18.75" customHeight="1">
      <c r="A6" s="144"/>
      <c r="B6" s="252"/>
      <c r="C6" s="252"/>
      <c r="D6" s="25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P6" s="144"/>
      <c r="Q6" s="144"/>
      <c r="R6" s="144"/>
      <c r="S6" s="144"/>
      <c r="T6" s="144"/>
      <c r="U6" s="144"/>
    </row>
    <row r="7" spans="1:22" ht="17.25" customHeight="1">
      <c r="A7" s="144"/>
      <c r="B7" s="143" t="s">
        <v>52</v>
      </c>
      <c r="C7" s="143"/>
      <c r="D7" s="143"/>
      <c r="E7" s="336"/>
      <c r="F7" s="145" t="s">
        <v>27</v>
      </c>
      <c r="G7" s="308">
        <f>Data!E8</f>
        <v>0</v>
      </c>
      <c r="H7" s="360" t="str">
        <f>Data!G8</f>
        <v>to</v>
      </c>
      <c r="I7" s="308">
        <f>Data!H8</f>
        <v>25</v>
      </c>
      <c r="J7" s="143" t="s">
        <v>7</v>
      </c>
      <c r="K7" s="143"/>
      <c r="M7" s="637" t="s">
        <v>100</v>
      </c>
      <c r="N7" s="637"/>
      <c r="O7" s="637"/>
      <c r="P7" s="145" t="s">
        <v>27</v>
      </c>
      <c r="Q7" s="638">
        <f>Data!P8</f>
        <v>1E-3</v>
      </c>
      <c r="R7" s="638"/>
      <c r="S7" s="143" t="s">
        <v>7</v>
      </c>
      <c r="T7" s="144"/>
      <c r="U7" s="144"/>
    </row>
    <row r="8" spans="1:22" ht="17.100000000000001" customHeight="1">
      <c r="A8" s="144"/>
      <c r="B8" s="147"/>
      <c r="C8" s="147"/>
      <c r="D8" s="147"/>
      <c r="E8" s="145"/>
      <c r="F8" s="253"/>
      <c r="G8" s="253"/>
      <c r="H8" s="253"/>
      <c r="I8" s="143"/>
      <c r="J8" s="143"/>
      <c r="K8" s="143"/>
      <c r="S8" s="144"/>
      <c r="T8" s="144"/>
      <c r="U8" s="144"/>
    </row>
    <row r="9" spans="1:22" ht="17.100000000000001" customHeight="1">
      <c r="A9" s="144"/>
      <c r="B9" s="147"/>
      <c r="C9" s="147"/>
      <c r="D9" s="147"/>
      <c r="E9" s="147"/>
      <c r="F9" s="254"/>
      <c r="G9" s="255"/>
      <c r="H9" s="143"/>
      <c r="I9" s="143"/>
      <c r="J9" s="143"/>
      <c r="K9" s="143"/>
      <c r="L9" s="143"/>
      <c r="M9" s="143"/>
      <c r="N9" s="143"/>
      <c r="O9" s="144"/>
      <c r="P9" s="144"/>
      <c r="R9" s="144" t="s">
        <v>144</v>
      </c>
      <c r="S9" s="144"/>
      <c r="T9" s="144"/>
      <c r="U9" s="144"/>
    </row>
    <row r="10" spans="1:22" ht="21" customHeight="1">
      <c r="A10" s="256"/>
      <c r="B10" s="256"/>
      <c r="C10" s="256"/>
      <c r="E10" s="631" t="s">
        <v>123</v>
      </c>
      <c r="F10" s="632"/>
      <c r="G10" s="632"/>
      <c r="H10" s="633"/>
      <c r="I10" s="631" t="s">
        <v>124</v>
      </c>
      <c r="J10" s="632"/>
      <c r="K10" s="632"/>
      <c r="L10" s="633"/>
      <c r="M10" s="639" t="s">
        <v>22</v>
      </c>
      <c r="N10" s="640"/>
      <c r="O10" s="641"/>
      <c r="P10" s="645" t="s">
        <v>156</v>
      </c>
      <c r="Q10" s="646"/>
      <c r="R10" s="646"/>
      <c r="S10" s="647"/>
      <c r="T10" s="256"/>
      <c r="U10" s="256"/>
    </row>
    <row r="11" spans="1:22" ht="21" customHeight="1">
      <c r="A11" s="256"/>
      <c r="B11" s="257"/>
      <c r="C11" s="257"/>
      <c r="E11" s="634"/>
      <c r="F11" s="635"/>
      <c r="G11" s="635"/>
      <c r="H11" s="636"/>
      <c r="I11" s="634"/>
      <c r="J11" s="635"/>
      <c r="K11" s="635"/>
      <c r="L11" s="636"/>
      <c r="M11" s="642"/>
      <c r="N11" s="643"/>
      <c r="O11" s="644"/>
      <c r="P11" s="648"/>
      <c r="Q11" s="649"/>
      <c r="R11" s="649"/>
      <c r="S11" s="650"/>
      <c r="T11" s="256"/>
      <c r="U11" s="256"/>
    </row>
    <row r="12" spans="1:22" ht="21" customHeight="1">
      <c r="A12" s="256"/>
      <c r="B12" s="258"/>
      <c r="C12" s="258"/>
      <c r="E12" s="624">
        <f>Data!C42</f>
        <v>0</v>
      </c>
      <c r="F12" s="625"/>
      <c r="G12" s="625"/>
      <c r="H12" s="626"/>
      <c r="I12" s="618">
        <f>Data!R42</f>
        <v>0</v>
      </c>
      <c r="J12" s="619"/>
      <c r="K12" s="619"/>
      <c r="L12" s="620"/>
      <c r="M12" s="618">
        <f>Data!Y42</f>
        <v>0</v>
      </c>
      <c r="N12" s="619"/>
      <c r="O12" s="620"/>
      <c r="P12" s="615">
        <f>'Uncertainty Budget 0 to 25mm'!O7</f>
        <v>0.57735026918962584</v>
      </c>
      <c r="Q12" s="616"/>
      <c r="R12" s="616"/>
      <c r="S12" s="617"/>
      <c r="T12" s="256"/>
      <c r="U12" s="256"/>
    </row>
    <row r="13" spans="1:22" ht="21" customHeight="1">
      <c r="A13" s="256"/>
      <c r="B13" s="258"/>
      <c r="C13" s="258"/>
      <c r="E13" s="627">
        <f>Data!C43</f>
        <v>2.5</v>
      </c>
      <c r="F13" s="628"/>
      <c r="G13" s="628"/>
      <c r="H13" s="629"/>
      <c r="I13" s="621">
        <f>Data!R43</f>
        <v>2.5000249999999999</v>
      </c>
      <c r="J13" s="622"/>
      <c r="K13" s="622"/>
      <c r="L13" s="623"/>
      <c r="M13" s="621">
        <f>Data!Y43</f>
        <v>2.4999999999941735E-5</v>
      </c>
      <c r="N13" s="622"/>
      <c r="O13" s="623"/>
      <c r="P13" s="612">
        <f>'Uncertainty Budget 0 to 25mm'!O8</f>
        <v>0.58356794314479932</v>
      </c>
      <c r="Q13" s="613"/>
      <c r="R13" s="613"/>
      <c r="S13" s="614"/>
      <c r="T13" s="256"/>
      <c r="U13" s="256"/>
    </row>
    <row r="14" spans="1:22" ht="21" customHeight="1">
      <c r="A14" s="256"/>
      <c r="B14" s="258"/>
      <c r="C14" s="258"/>
      <c r="E14" s="627">
        <f>Data!C44</f>
        <v>5.0999999999999996</v>
      </c>
      <c r="F14" s="628"/>
      <c r="G14" s="628"/>
      <c r="H14" s="629"/>
      <c r="I14" s="621">
        <f>Data!R44</f>
        <v>5.0999999999999996</v>
      </c>
      <c r="J14" s="622"/>
      <c r="K14" s="622"/>
      <c r="L14" s="623"/>
      <c r="M14" s="621">
        <f>Data!Y44</f>
        <v>0</v>
      </c>
      <c r="N14" s="622"/>
      <c r="O14" s="623"/>
      <c r="P14" s="612">
        <f>'Uncertainty Budget 0 to 25mm'!O9</f>
        <v>0.58439692276169053</v>
      </c>
      <c r="Q14" s="613"/>
      <c r="R14" s="613"/>
      <c r="S14" s="614"/>
      <c r="T14" s="256"/>
      <c r="U14" s="256"/>
    </row>
    <row r="15" spans="1:22" ht="21" customHeight="1">
      <c r="A15" s="256"/>
      <c r="B15" s="258"/>
      <c r="C15" s="258"/>
      <c r="E15" s="627">
        <f>Data!C45</f>
        <v>7.7</v>
      </c>
      <c r="F15" s="628"/>
      <c r="G15" s="628"/>
      <c r="H15" s="629"/>
      <c r="I15" s="621">
        <f>Data!R45</f>
        <v>7.7</v>
      </c>
      <c r="J15" s="622"/>
      <c r="K15" s="622"/>
      <c r="L15" s="623"/>
      <c r="M15" s="621">
        <f>Data!Y45</f>
        <v>0</v>
      </c>
      <c r="N15" s="622"/>
      <c r="O15" s="623"/>
      <c r="P15" s="612">
        <f>'Uncertainty Budget 0 to 25mm'!O10</f>
        <v>0.58939641724960179</v>
      </c>
      <c r="Q15" s="613"/>
      <c r="R15" s="613"/>
      <c r="S15" s="614"/>
      <c r="T15" s="256"/>
      <c r="U15" s="256"/>
    </row>
    <row r="16" spans="1:22" ht="21" customHeight="1">
      <c r="A16" s="256"/>
      <c r="B16" s="258"/>
      <c r="C16" s="258"/>
      <c r="E16" s="627">
        <f>Data!C46</f>
        <v>10.3</v>
      </c>
      <c r="F16" s="628"/>
      <c r="G16" s="628"/>
      <c r="H16" s="629"/>
      <c r="I16" s="621">
        <f>Data!R46</f>
        <v>10.3</v>
      </c>
      <c r="J16" s="622"/>
      <c r="K16" s="622"/>
      <c r="L16" s="623"/>
      <c r="M16" s="621">
        <f>Data!Y46</f>
        <v>0</v>
      </c>
      <c r="N16" s="622"/>
      <c r="O16" s="623"/>
      <c r="P16" s="612">
        <f>'Uncertainty Budget 0 to 25mm'!O11</f>
        <v>0.59744500723218597</v>
      </c>
      <c r="Q16" s="613"/>
      <c r="R16" s="613"/>
      <c r="S16" s="614"/>
      <c r="T16" s="256"/>
      <c r="U16" s="256"/>
    </row>
    <row r="17" spans="1:24" ht="21" customHeight="1">
      <c r="A17" s="256"/>
      <c r="B17" s="258"/>
      <c r="C17" s="258"/>
      <c r="E17" s="627">
        <f>Data!C47</f>
        <v>12.9</v>
      </c>
      <c r="F17" s="628"/>
      <c r="G17" s="628"/>
      <c r="H17" s="629"/>
      <c r="I17" s="621">
        <f>Data!R47</f>
        <v>12.9</v>
      </c>
      <c r="J17" s="622"/>
      <c r="K17" s="622"/>
      <c r="L17" s="623"/>
      <c r="M17" s="621">
        <f>Data!Y47</f>
        <v>0</v>
      </c>
      <c r="N17" s="622"/>
      <c r="O17" s="623"/>
      <c r="P17" s="612">
        <f>'Uncertainty Budget 0 to 25mm'!O12</f>
        <v>0.6062812576134391</v>
      </c>
      <c r="Q17" s="613"/>
      <c r="R17" s="613"/>
      <c r="S17" s="614"/>
      <c r="T17" s="256"/>
      <c r="U17" s="256"/>
    </row>
    <row r="18" spans="1:24" ht="21" customHeight="1">
      <c r="A18" s="256"/>
      <c r="B18" s="258"/>
      <c r="C18" s="258"/>
      <c r="E18" s="627">
        <f>Data!C48</f>
        <v>15</v>
      </c>
      <c r="F18" s="628"/>
      <c r="G18" s="628"/>
      <c r="H18" s="629"/>
      <c r="I18" s="621">
        <f>Data!R48</f>
        <v>15</v>
      </c>
      <c r="J18" s="622"/>
      <c r="K18" s="622"/>
      <c r="L18" s="623"/>
      <c r="M18" s="621">
        <f>Data!Y48</f>
        <v>0</v>
      </c>
      <c r="N18" s="622"/>
      <c r="O18" s="623"/>
      <c r="P18" s="612">
        <f>'Uncertainty Budget 0 to 25mm'!O13</f>
        <v>0.6147424935152388</v>
      </c>
      <c r="Q18" s="613"/>
      <c r="R18" s="613"/>
      <c r="S18" s="614"/>
      <c r="T18" s="256"/>
      <c r="U18" s="256"/>
    </row>
    <row r="19" spans="1:24" ht="21" customHeight="1">
      <c r="A19" s="256"/>
      <c r="B19" s="258"/>
      <c r="C19" s="258"/>
      <c r="E19" s="627">
        <f>Data!C49</f>
        <v>17.600000000000001</v>
      </c>
      <c r="F19" s="628"/>
      <c r="G19" s="628"/>
      <c r="H19" s="629"/>
      <c r="I19" s="621">
        <f>Data!R49</f>
        <v>17.600000000000001</v>
      </c>
      <c r="J19" s="622"/>
      <c r="K19" s="622"/>
      <c r="L19" s="623"/>
      <c r="M19" s="621">
        <f>Data!Y49</f>
        <v>0</v>
      </c>
      <c r="N19" s="622"/>
      <c r="O19" s="623"/>
      <c r="P19" s="612">
        <f>'Uncertainty Budget 0 to 25mm'!O14</f>
        <v>0.62678093993568984</v>
      </c>
      <c r="Q19" s="613"/>
      <c r="R19" s="613"/>
      <c r="S19" s="614"/>
      <c r="T19" s="256"/>
      <c r="U19" s="256"/>
    </row>
    <row r="20" spans="1:24" ht="21" customHeight="1">
      <c r="A20" s="256"/>
      <c r="B20" s="258"/>
      <c r="C20" s="258"/>
      <c r="E20" s="627">
        <f>Data!C50</f>
        <v>20.2</v>
      </c>
      <c r="F20" s="628"/>
      <c r="G20" s="628"/>
      <c r="H20" s="629"/>
      <c r="I20" s="621">
        <f>Data!R50</f>
        <v>20.2</v>
      </c>
      <c r="J20" s="622"/>
      <c r="K20" s="622"/>
      <c r="L20" s="623"/>
      <c r="M20" s="621">
        <f>Data!Y50</f>
        <v>0</v>
      </c>
      <c r="N20" s="622"/>
      <c r="O20" s="623"/>
      <c r="P20" s="612">
        <f>'Uncertainty Budget 0 to 25mm'!O15</f>
        <v>0.64045638935579885</v>
      </c>
      <c r="Q20" s="613"/>
      <c r="R20" s="613"/>
      <c r="S20" s="614"/>
      <c r="T20" s="259"/>
      <c r="U20" s="256"/>
    </row>
    <row r="21" spans="1:24" ht="21" customHeight="1">
      <c r="A21" s="256"/>
      <c r="B21" s="258"/>
      <c r="C21" s="258"/>
      <c r="E21" s="627">
        <f>Data!C51</f>
        <v>22.8</v>
      </c>
      <c r="F21" s="628"/>
      <c r="G21" s="628"/>
      <c r="H21" s="629"/>
      <c r="I21" s="621">
        <f>Data!R51</f>
        <v>22.8</v>
      </c>
      <c r="J21" s="622"/>
      <c r="K21" s="622"/>
      <c r="L21" s="623"/>
      <c r="M21" s="621">
        <f>Data!Y51</f>
        <v>0</v>
      </c>
      <c r="N21" s="622"/>
      <c r="O21" s="623"/>
      <c r="P21" s="612">
        <f>'Uncertainty Budget 0 to 25mm'!O16</f>
        <v>0.65566641925092772</v>
      </c>
      <c r="Q21" s="613"/>
      <c r="R21" s="613"/>
      <c r="S21" s="614"/>
      <c r="T21" s="259"/>
      <c r="U21" s="256"/>
    </row>
    <row r="22" spans="1:24" ht="21" customHeight="1">
      <c r="A22" s="256"/>
      <c r="B22" s="256"/>
      <c r="C22" s="256"/>
      <c r="E22" s="606">
        <f>Data!C52</f>
        <v>25</v>
      </c>
      <c r="F22" s="607"/>
      <c r="G22" s="607"/>
      <c r="H22" s="608"/>
      <c r="I22" s="609">
        <f>Data!R52</f>
        <v>25</v>
      </c>
      <c r="J22" s="610"/>
      <c r="K22" s="610"/>
      <c r="L22" s="611"/>
      <c r="M22" s="609">
        <f>Data!Y52</f>
        <v>0</v>
      </c>
      <c r="N22" s="610"/>
      <c r="O22" s="611"/>
      <c r="P22" s="603">
        <f>'Uncertainty Budget 0 to 25mm'!O17</f>
        <v>0.6696578728475211</v>
      </c>
      <c r="Q22" s="604"/>
      <c r="R22" s="604"/>
      <c r="S22" s="605"/>
      <c r="T22" s="260"/>
      <c r="U22" s="216"/>
    </row>
    <row r="23" spans="1:24" ht="18" customHeight="1">
      <c r="A23" s="251"/>
      <c r="B23" s="251"/>
      <c r="C23" s="251"/>
      <c r="D23" s="251"/>
      <c r="S23" s="251"/>
      <c r="T23" s="251"/>
      <c r="U23" s="251"/>
    </row>
    <row r="24" spans="1:24" ht="18" customHeight="1">
      <c r="A24" s="251"/>
      <c r="B24" s="251"/>
      <c r="C24" s="251"/>
      <c r="D24" s="261"/>
      <c r="S24" s="251"/>
      <c r="T24" s="251"/>
      <c r="U24" s="251"/>
    </row>
    <row r="25" spans="1:24" ht="21" customHeight="1">
      <c r="A25" s="148"/>
      <c r="B25" s="144"/>
      <c r="C25" s="263"/>
      <c r="D25" s="148"/>
      <c r="E25" s="600" t="s">
        <v>53</v>
      </c>
      <c r="F25" s="601"/>
      <c r="G25" s="601"/>
      <c r="H25" s="601"/>
      <c r="I25" s="601"/>
      <c r="J25" s="601"/>
      <c r="K25" s="602"/>
      <c r="L25" s="338" t="s">
        <v>140</v>
      </c>
      <c r="M25" s="339"/>
      <c r="N25" s="339"/>
      <c r="O25" s="339"/>
      <c r="P25" s="339"/>
      <c r="Q25" s="339"/>
      <c r="R25" s="344"/>
      <c r="S25" s="345"/>
    </row>
    <row r="26" spans="1:24" ht="21" customHeight="1">
      <c r="E26" s="316" t="s">
        <v>65</v>
      </c>
      <c r="F26" s="198"/>
      <c r="G26" s="340" t="s">
        <v>27</v>
      </c>
      <c r="H26" s="323" t="s">
        <v>54</v>
      </c>
      <c r="I26" s="324">
        <f>Data!J15</f>
        <v>0.3</v>
      </c>
      <c r="J26" s="270" t="s">
        <v>55</v>
      </c>
      <c r="K26" s="341"/>
      <c r="L26" s="346"/>
      <c r="M26" s="347"/>
      <c r="N26" s="348"/>
      <c r="O26" s="462" t="s">
        <v>54</v>
      </c>
      <c r="P26" s="462">
        <f>Data!T24</f>
        <v>0.89999999999999991</v>
      </c>
      <c r="Q26" s="462" t="s">
        <v>10</v>
      </c>
      <c r="R26" s="324"/>
      <c r="S26" s="341"/>
    </row>
    <row r="27" spans="1:24" ht="21" customHeight="1">
      <c r="E27" s="317" t="s">
        <v>145</v>
      </c>
      <c r="F27" s="319"/>
      <c r="G27" s="342" t="s">
        <v>27</v>
      </c>
      <c r="H27" s="321" t="s">
        <v>54</v>
      </c>
      <c r="I27" s="322">
        <f>Data!J16</f>
        <v>0</v>
      </c>
      <c r="J27" s="271" t="s">
        <v>55</v>
      </c>
      <c r="K27" s="343"/>
      <c r="L27" s="320"/>
      <c r="M27" s="262"/>
      <c r="N27" s="349"/>
      <c r="O27" s="465"/>
      <c r="P27" s="465"/>
      <c r="Q27" s="465"/>
      <c r="R27" s="318"/>
      <c r="S27" s="343"/>
    </row>
    <row r="28" spans="1:24" ht="17.100000000000001" customHeight="1"/>
    <row r="29" spans="1:24" s="326" customFormat="1" ht="21" customHeight="1">
      <c r="A29" s="325"/>
      <c r="B29" s="230" t="s">
        <v>56</v>
      </c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325"/>
      <c r="W29" s="325"/>
      <c r="X29" s="325"/>
    </row>
    <row r="30" spans="1:24" s="326" customFormat="1" ht="21" customHeight="1">
      <c r="A30" s="197"/>
      <c r="B30" s="189" t="s">
        <v>141</v>
      </c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325"/>
      <c r="X30" s="325"/>
    </row>
    <row r="31" spans="1:24" s="326" customFormat="1" ht="21" customHeight="1">
      <c r="A31" s="189" t="s">
        <v>142</v>
      </c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325"/>
      <c r="X31" s="325"/>
    </row>
    <row r="32" spans="1:24" s="326" customFormat="1" ht="21" customHeight="1">
      <c r="A32" s="599" t="s">
        <v>57</v>
      </c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599"/>
      <c r="P32" s="599"/>
      <c r="Q32" s="599"/>
      <c r="R32" s="599"/>
      <c r="S32" s="599"/>
      <c r="T32" s="599"/>
      <c r="U32" s="599"/>
      <c r="V32" s="599"/>
      <c r="W32" s="337"/>
      <c r="X32" s="337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M16:O16"/>
    <mergeCell ref="M15:O15"/>
    <mergeCell ref="M14:O14"/>
    <mergeCell ref="M13:O13"/>
    <mergeCell ref="M12:O12"/>
    <mergeCell ref="M21:O21"/>
    <mergeCell ref="M20:O20"/>
    <mergeCell ref="M19:O19"/>
    <mergeCell ref="M18:O18"/>
    <mergeCell ref="M17:O17"/>
    <mergeCell ref="E17:H17"/>
    <mergeCell ref="E18:H18"/>
    <mergeCell ref="E19:H19"/>
    <mergeCell ref="E20:H20"/>
    <mergeCell ref="E21:H21"/>
    <mergeCell ref="A3:V3"/>
    <mergeCell ref="E10:H11"/>
    <mergeCell ref="I10:L11"/>
    <mergeCell ref="M7:O7"/>
    <mergeCell ref="Q7:R7"/>
    <mergeCell ref="M10:O11"/>
    <mergeCell ref="P10:S11"/>
    <mergeCell ref="E12:H12"/>
    <mergeCell ref="E13:H13"/>
    <mergeCell ref="E14:H14"/>
    <mergeCell ref="E15:H15"/>
    <mergeCell ref="E16:H16"/>
    <mergeCell ref="I17:L17"/>
    <mergeCell ref="I18:L18"/>
    <mergeCell ref="I19:L19"/>
    <mergeCell ref="I20:L20"/>
    <mergeCell ref="I21:L21"/>
    <mergeCell ref="I12:L12"/>
    <mergeCell ref="I13:L13"/>
    <mergeCell ref="I14:L14"/>
    <mergeCell ref="I15:L15"/>
    <mergeCell ref="I16:L16"/>
    <mergeCell ref="P12:S12"/>
    <mergeCell ref="P13:S13"/>
    <mergeCell ref="P14:S14"/>
    <mergeCell ref="P15:S15"/>
    <mergeCell ref="P16:S16"/>
    <mergeCell ref="P17:S17"/>
    <mergeCell ref="P18:S18"/>
    <mergeCell ref="P19:S19"/>
    <mergeCell ref="P20:S20"/>
    <mergeCell ref="P21:S21"/>
    <mergeCell ref="A32:V32"/>
    <mergeCell ref="E25:K25"/>
    <mergeCell ref="Q26:Q27"/>
    <mergeCell ref="P22:S22"/>
    <mergeCell ref="O26:O27"/>
    <mergeCell ref="P26:P27"/>
    <mergeCell ref="E22:H22"/>
    <mergeCell ref="I22:L22"/>
    <mergeCell ref="M22:O22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F0"/>
  </sheetPr>
  <dimension ref="A1:P134"/>
  <sheetViews>
    <sheetView tabSelected="1" workbookViewId="0">
      <selection activeCell="M8" sqref="M8"/>
    </sheetView>
  </sheetViews>
  <sheetFormatPr defaultColWidth="8.85546875" defaultRowHeight="12"/>
  <cols>
    <col min="1" max="1" width="1.140625" style="1" customWidth="1"/>
    <col min="2" max="15" width="9.4257812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4257812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4257812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4257812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4257812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4257812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4257812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4257812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4257812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4257812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4257812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4257812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4257812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4257812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4257812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4257812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4257812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4257812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4257812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4257812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4257812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4257812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4257812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4257812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4257812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4257812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4257812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4257812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4257812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4257812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4257812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4257812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4257812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4257812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4257812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4257812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4257812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4257812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4257812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4257812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4257812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4257812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4257812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4257812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4257812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4257812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4257812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4257812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4257812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4257812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4257812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4257812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4257812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4257812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4257812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4257812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4257812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4257812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4257812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4257812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4257812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4257812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4257812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4257812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655" t="s">
        <v>25</v>
      </c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</row>
    <row r="3" spans="1:16" ht="18" customHeight="1">
      <c r="B3" s="656"/>
      <c r="C3" s="656"/>
      <c r="D3" s="656"/>
      <c r="E3" s="656"/>
      <c r="F3" s="656"/>
      <c r="G3" s="3"/>
      <c r="H3" s="3"/>
      <c r="O3" s="3"/>
    </row>
    <row r="4" spans="1:16" ht="21" customHeight="1">
      <c r="B4" s="7" t="s">
        <v>0</v>
      </c>
      <c r="C4" s="657" t="s">
        <v>2</v>
      </c>
      <c r="D4" s="658"/>
      <c r="E4" s="657" t="s">
        <v>24</v>
      </c>
      <c r="F4" s="658"/>
      <c r="G4" s="659" t="s">
        <v>1</v>
      </c>
      <c r="H4" s="660"/>
      <c r="I4" s="657" t="s">
        <v>20</v>
      </c>
      <c r="J4" s="658"/>
      <c r="K4" s="653" t="s">
        <v>3</v>
      </c>
      <c r="L4" s="653" t="s">
        <v>4</v>
      </c>
      <c r="M4" s="653" t="s">
        <v>5</v>
      </c>
      <c r="N4" s="653" t="s">
        <v>6</v>
      </c>
      <c r="O4" s="314" t="s">
        <v>138</v>
      </c>
    </row>
    <row r="5" spans="1:16" ht="21" customHeight="1">
      <c r="B5" s="313" t="s">
        <v>7</v>
      </c>
      <c r="C5" s="651" t="s">
        <v>7</v>
      </c>
      <c r="D5" s="652"/>
      <c r="E5" s="651" t="s">
        <v>7</v>
      </c>
      <c r="F5" s="652"/>
      <c r="G5" s="651" t="s">
        <v>7</v>
      </c>
      <c r="H5" s="652"/>
      <c r="I5" s="651" t="s">
        <v>7</v>
      </c>
      <c r="J5" s="652"/>
      <c r="K5" s="654"/>
      <c r="L5" s="654"/>
      <c r="M5" s="654"/>
      <c r="N5" s="654"/>
      <c r="O5" s="315" t="s">
        <v>139</v>
      </c>
    </row>
    <row r="6" spans="1:16" ht="21" customHeight="1">
      <c r="B6" s="9" t="s">
        <v>8</v>
      </c>
      <c r="C6" s="9" t="s">
        <v>8</v>
      </c>
      <c r="D6" s="10" t="s">
        <v>4</v>
      </c>
      <c r="E6" s="9" t="s">
        <v>8</v>
      </c>
      <c r="F6" s="10" t="s">
        <v>4</v>
      </c>
      <c r="G6" s="9" t="s">
        <v>8</v>
      </c>
      <c r="H6" s="10" t="s">
        <v>4</v>
      </c>
      <c r="I6" s="9" t="s">
        <v>8</v>
      </c>
      <c r="J6" s="10" t="s">
        <v>4</v>
      </c>
      <c r="K6" s="9" t="s">
        <v>8</v>
      </c>
      <c r="L6" s="9" t="s">
        <v>8</v>
      </c>
      <c r="M6" s="9" t="s">
        <v>8</v>
      </c>
      <c r="N6" s="11" t="s">
        <v>8</v>
      </c>
      <c r="O6" s="332" t="s">
        <v>8</v>
      </c>
      <c r="P6" s="12"/>
    </row>
    <row r="7" spans="1:16" ht="21" customHeight="1">
      <c r="A7" s="8"/>
      <c r="B7" s="76">
        <v>0</v>
      </c>
      <c r="C7" s="15">
        <f>Data!U42</f>
        <v>0</v>
      </c>
      <c r="D7" s="14">
        <f t="shared" ref="D7:D17" si="0">C7/1</f>
        <v>0</v>
      </c>
      <c r="E7" s="309">
        <v>0</v>
      </c>
      <c r="F7" s="310">
        <f t="shared" ref="F7:F17" si="1">E7/2</f>
        <v>0</v>
      </c>
      <c r="G7" s="14">
        <f>((B7)*(11.5*10^-6)*1)</f>
        <v>0</v>
      </c>
      <c r="H7" s="14">
        <f t="shared" ref="H7:H17" si="2">G7/SQRT(3)</f>
        <v>0</v>
      </c>
      <c r="I7" s="311">
        <f>(Data!P8)/2</f>
        <v>5.0000000000000001E-4</v>
      </c>
      <c r="J7" s="16">
        <f t="shared" ref="J7:J17" si="3">(I7/SQRT(3))</f>
        <v>2.886751345948129E-4</v>
      </c>
      <c r="K7" s="14">
        <f>SQRT(D7^2+F7^2+H7^2+J7^2)</f>
        <v>2.886751345948129E-4</v>
      </c>
      <c r="L7" s="17">
        <f t="shared" ref="L7:L17" si="4">K7/1</f>
        <v>2.886751345948129E-4</v>
      </c>
      <c r="M7" s="18" t="str">
        <f>IF(D7=0,"∞",(K7^4/(D7^4/3)))</f>
        <v>∞</v>
      </c>
      <c r="N7" s="13">
        <f>IF(M7="∞",2,_xlfn.T.INV.2T(0.0455,M7))</f>
        <v>2</v>
      </c>
      <c r="O7" s="312">
        <f>K7*N7*1000</f>
        <v>0.57735026918962584</v>
      </c>
      <c r="P7" s="12"/>
    </row>
    <row r="8" spans="1:16" ht="21" customHeight="1">
      <c r="A8" s="8"/>
      <c r="B8" s="76">
        <v>2.5</v>
      </c>
      <c r="C8" s="15">
        <f>Data!U43</f>
        <v>2.5000000000052761E-5</v>
      </c>
      <c r="D8" s="14">
        <f t="shared" ref="D8:D16" si="5">C8/1</f>
        <v>2.5000000000052761E-5</v>
      </c>
      <c r="E8" s="309">
        <f>'Uncert of STD'!D5</f>
        <v>5.9999999999999995E-5</v>
      </c>
      <c r="F8" s="310">
        <f t="shared" si="1"/>
        <v>2.9999999999999997E-5</v>
      </c>
      <c r="G8" s="14">
        <f t="shared" ref="G8:G17" si="6">((B8)*(11.5*10^-6)*1)</f>
        <v>2.8750000000000001E-5</v>
      </c>
      <c r="H8" s="14">
        <f t="shared" si="2"/>
        <v>1.6598820239201741E-5</v>
      </c>
      <c r="I8" s="311">
        <f>I7</f>
        <v>5.0000000000000001E-4</v>
      </c>
      <c r="J8" s="16">
        <f t="shared" si="3"/>
        <v>2.886751345948129E-4</v>
      </c>
      <c r="K8" s="14">
        <f t="shared" ref="K8:K17" si="7">SQRT(D8^2+F8^2+H8^2+J8^2)</f>
        <v>2.9177706244094874E-4</v>
      </c>
      <c r="L8" s="17">
        <f t="shared" si="4"/>
        <v>2.9177706244094874E-4</v>
      </c>
      <c r="M8" s="18">
        <f t="shared" ref="M8:M17" si="8">IF(D8=0,"∞",(K8^4/(D8^4/3)))</f>
        <v>55662.897601616874</v>
      </c>
      <c r="N8" s="13">
        <f t="shared" ref="N8:N17" si="9">IF(M8="∞",2,_xlfn.T.INV.2T(0.0455,M8))</f>
        <v>2.000047358976015</v>
      </c>
      <c r="O8" s="312">
        <f t="shared" ref="O8:O17" si="10">K8*N8*1000</f>
        <v>0.58356794314479932</v>
      </c>
      <c r="P8" s="12"/>
    </row>
    <row r="9" spans="1:16" ht="21" customHeight="1">
      <c r="A9" s="8"/>
      <c r="B9" s="76">
        <v>5.0999999999999996</v>
      </c>
      <c r="C9" s="15">
        <f>Data!U44</f>
        <v>0</v>
      </c>
      <c r="D9" s="14">
        <f t="shared" si="5"/>
        <v>0</v>
      </c>
      <c r="E9" s="309">
        <f>'Uncert of STD'!D6</f>
        <v>5.9999999999999995E-5</v>
      </c>
      <c r="F9" s="310">
        <f t="shared" si="1"/>
        <v>2.9999999999999997E-5</v>
      </c>
      <c r="G9" s="14">
        <f t="shared" si="6"/>
        <v>5.8649999999999996E-5</v>
      </c>
      <c r="H9" s="14">
        <f t="shared" si="2"/>
        <v>3.3861593287971553E-5</v>
      </c>
      <c r="I9" s="311">
        <f t="shared" ref="I9:I17" si="11">I8</f>
        <v>5.0000000000000001E-4</v>
      </c>
      <c r="J9" s="16">
        <f t="shared" si="3"/>
        <v>2.886751345948129E-4</v>
      </c>
      <c r="K9" s="14">
        <f t="shared" si="7"/>
        <v>2.9219846138084528E-4</v>
      </c>
      <c r="L9" s="17">
        <f t="shared" si="4"/>
        <v>2.9219846138084528E-4</v>
      </c>
      <c r="M9" s="18" t="str">
        <f t="shared" si="8"/>
        <v>∞</v>
      </c>
      <c r="N9" s="13">
        <f t="shared" si="9"/>
        <v>2</v>
      </c>
      <c r="O9" s="312">
        <f t="shared" si="10"/>
        <v>0.58439692276169053</v>
      </c>
      <c r="P9" s="12"/>
    </row>
    <row r="10" spans="1:16" ht="21" customHeight="1">
      <c r="A10" s="8"/>
      <c r="B10" s="76">
        <v>7.7</v>
      </c>
      <c r="C10" s="15">
        <f>Data!U45</f>
        <v>0</v>
      </c>
      <c r="D10" s="14">
        <f t="shared" si="5"/>
        <v>0</v>
      </c>
      <c r="E10" s="309">
        <f>'Uncert of STD'!D7</f>
        <v>5.9999999999999995E-5</v>
      </c>
      <c r="F10" s="310">
        <f t="shared" si="1"/>
        <v>2.9999999999999997E-5</v>
      </c>
      <c r="G10" s="14">
        <f t="shared" si="6"/>
        <v>8.8549999999999998E-5</v>
      </c>
      <c r="H10" s="14">
        <f t="shared" si="2"/>
        <v>5.1124366336741365E-5</v>
      </c>
      <c r="I10" s="311">
        <f t="shared" si="11"/>
        <v>5.0000000000000001E-4</v>
      </c>
      <c r="J10" s="16">
        <f t="shared" si="3"/>
        <v>2.886751345948129E-4</v>
      </c>
      <c r="K10" s="14">
        <f t="shared" si="7"/>
        <v>2.946982086248009E-4</v>
      </c>
      <c r="L10" s="17">
        <f t="shared" si="4"/>
        <v>2.946982086248009E-4</v>
      </c>
      <c r="M10" s="18" t="str">
        <f t="shared" si="8"/>
        <v>∞</v>
      </c>
      <c r="N10" s="13">
        <f t="shared" si="9"/>
        <v>2</v>
      </c>
      <c r="O10" s="312">
        <f t="shared" si="10"/>
        <v>0.58939641724960179</v>
      </c>
      <c r="P10" s="12"/>
    </row>
    <row r="11" spans="1:16" s="8" customFormat="1" ht="21" customHeight="1">
      <c r="B11" s="76">
        <v>10.3</v>
      </c>
      <c r="C11" s="15">
        <f>Data!U46</f>
        <v>0</v>
      </c>
      <c r="D11" s="14">
        <f t="shared" si="5"/>
        <v>0</v>
      </c>
      <c r="E11" s="309">
        <f>'Uncert of STD'!D8</f>
        <v>7.0000000000000007E-5</v>
      </c>
      <c r="F11" s="310">
        <f t="shared" si="1"/>
        <v>3.5000000000000004E-5</v>
      </c>
      <c r="G11" s="14">
        <f t="shared" si="6"/>
        <v>1.1845000000000001E-4</v>
      </c>
      <c r="H11" s="14">
        <f t="shared" si="2"/>
        <v>6.8387139385511184E-5</v>
      </c>
      <c r="I11" s="311">
        <f t="shared" si="11"/>
        <v>5.0000000000000001E-4</v>
      </c>
      <c r="J11" s="16">
        <f t="shared" si="3"/>
        <v>2.886751345948129E-4</v>
      </c>
      <c r="K11" s="14">
        <f t="shared" si="7"/>
        <v>2.9872250361609296E-4</v>
      </c>
      <c r="L11" s="17">
        <f t="shared" si="4"/>
        <v>2.9872250361609296E-4</v>
      </c>
      <c r="M11" s="18" t="str">
        <f t="shared" si="8"/>
        <v>∞</v>
      </c>
      <c r="N11" s="13">
        <f t="shared" si="9"/>
        <v>2</v>
      </c>
      <c r="O11" s="312">
        <f t="shared" si="10"/>
        <v>0.59744500723218597</v>
      </c>
      <c r="P11" s="19"/>
    </row>
    <row r="12" spans="1:16" s="8" customFormat="1" ht="21" customHeight="1">
      <c r="B12" s="76">
        <v>12.9</v>
      </c>
      <c r="C12" s="15">
        <f>Data!U47</f>
        <v>0</v>
      </c>
      <c r="D12" s="14">
        <f t="shared" si="5"/>
        <v>0</v>
      </c>
      <c r="E12" s="309">
        <f>'Uncert of STD'!D9</f>
        <v>7.0000000000000007E-5</v>
      </c>
      <c r="F12" s="310">
        <f t="shared" si="1"/>
        <v>3.5000000000000004E-5</v>
      </c>
      <c r="G12" s="14">
        <f t="shared" si="6"/>
        <v>1.4835E-4</v>
      </c>
      <c r="H12" s="14">
        <f t="shared" si="2"/>
        <v>8.5649912434280983E-5</v>
      </c>
      <c r="I12" s="311">
        <f t="shared" si="11"/>
        <v>5.0000000000000001E-4</v>
      </c>
      <c r="J12" s="16">
        <f t="shared" si="3"/>
        <v>2.886751345948129E-4</v>
      </c>
      <c r="K12" s="14">
        <f t="shared" si="7"/>
        <v>3.0314062880671956E-4</v>
      </c>
      <c r="L12" s="17">
        <f t="shared" si="4"/>
        <v>3.0314062880671956E-4</v>
      </c>
      <c r="M12" s="18" t="str">
        <f t="shared" si="8"/>
        <v>∞</v>
      </c>
      <c r="N12" s="13">
        <f t="shared" si="9"/>
        <v>2</v>
      </c>
      <c r="O12" s="312">
        <f t="shared" si="10"/>
        <v>0.6062812576134391</v>
      </c>
      <c r="P12" s="19"/>
    </row>
    <row r="13" spans="1:16" s="8" customFormat="1" ht="21" customHeight="1">
      <c r="B13" s="76">
        <v>15</v>
      </c>
      <c r="C13" s="15">
        <f>Data!U48</f>
        <v>0</v>
      </c>
      <c r="D13" s="14">
        <f t="shared" si="5"/>
        <v>0</v>
      </c>
      <c r="E13" s="309">
        <f>'Uncert of STD'!D10</f>
        <v>7.0000000000000007E-5</v>
      </c>
      <c r="F13" s="310">
        <f t="shared" si="1"/>
        <v>3.5000000000000004E-5</v>
      </c>
      <c r="G13" s="14">
        <f t="shared" si="6"/>
        <v>1.7249999999999999E-4</v>
      </c>
      <c r="H13" s="14">
        <f t="shared" si="2"/>
        <v>9.9592921435210445E-5</v>
      </c>
      <c r="I13" s="311">
        <f t="shared" si="11"/>
        <v>5.0000000000000001E-4</v>
      </c>
      <c r="J13" s="16">
        <f t="shared" si="3"/>
        <v>2.886751345948129E-4</v>
      </c>
      <c r="K13" s="14">
        <f t="shared" si="7"/>
        <v>3.0737124675761941E-4</v>
      </c>
      <c r="L13" s="17">
        <f t="shared" si="4"/>
        <v>3.0737124675761941E-4</v>
      </c>
      <c r="M13" s="18" t="str">
        <f t="shared" si="8"/>
        <v>∞</v>
      </c>
      <c r="N13" s="13">
        <f t="shared" si="9"/>
        <v>2</v>
      </c>
      <c r="O13" s="312">
        <f t="shared" si="10"/>
        <v>0.6147424935152388</v>
      </c>
      <c r="P13" s="19"/>
    </row>
    <row r="14" spans="1:16" s="8" customFormat="1" ht="21" customHeight="1">
      <c r="B14" s="76">
        <v>17.600000000000001</v>
      </c>
      <c r="C14" s="15">
        <f>Data!U49</f>
        <v>0</v>
      </c>
      <c r="D14" s="14">
        <f t="shared" si="5"/>
        <v>0</v>
      </c>
      <c r="E14" s="309">
        <f>'Uncert of STD'!D11</f>
        <v>7.0000000000000007E-5</v>
      </c>
      <c r="F14" s="310">
        <f t="shared" si="1"/>
        <v>3.5000000000000004E-5</v>
      </c>
      <c r="G14" s="14">
        <f t="shared" si="6"/>
        <v>2.0240000000000001E-4</v>
      </c>
      <c r="H14" s="14">
        <f t="shared" si="2"/>
        <v>1.1685569448398027E-4</v>
      </c>
      <c r="I14" s="311">
        <f t="shared" si="11"/>
        <v>5.0000000000000001E-4</v>
      </c>
      <c r="J14" s="16">
        <f t="shared" si="3"/>
        <v>2.886751345948129E-4</v>
      </c>
      <c r="K14" s="14">
        <f t="shared" si="7"/>
        <v>3.1339046996784489E-4</v>
      </c>
      <c r="L14" s="17">
        <f t="shared" si="4"/>
        <v>3.1339046996784489E-4</v>
      </c>
      <c r="M14" s="18" t="str">
        <f t="shared" si="8"/>
        <v>∞</v>
      </c>
      <c r="N14" s="13">
        <f t="shared" si="9"/>
        <v>2</v>
      </c>
      <c r="O14" s="312">
        <f t="shared" si="10"/>
        <v>0.62678093993568984</v>
      </c>
      <c r="P14" s="19"/>
    </row>
    <row r="15" spans="1:16" s="8" customFormat="1" ht="21" customHeight="1">
      <c r="B15" s="76">
        <v>20.2</v>
      </c>
      <c r="C15" s="15">
        <f>Data!U50</f>
        <v>0</v>
      </c>
      <c r="D15" s="14">
        <f t="shared" si="5"/>
        <v>0</v>
      </c>
      <c r="E15" s="309">
        <f>'Uncert of STD'!D12</f>
        <v>7.0000000000000007E-5</v>
      </c>
      <c r="F15" s="310">
        <f t="shared" si="1"/>
        <v>3.5000000000000004E-5</v>
      </c>
      <c r="G15" s="14">
        <f t="shared" si="6"/>
        <v>2.3229999999999998E-4</v>
      </c>
      <c r="H15" s="14">
        <f t="shared" si="2"/>
        <v>1.3411846753275006E-4</v>
      </c>
      <c r="I15" s="311">
        <f t="shared" si="11"/>
        <v>5.0000000000000001E-4</v>
      </c>
      <c r="J15" s="16">
        <f t="shared" si="3"/>
        <v>2.886751345948129E-4</v>
      </c>
      <c r="K15" s="14">
        <f t="shared" si="7"/>
        <v>3.2022819467789944E-4</v>
      </c>
      <c r="L15" s="17">
        <f t="shared" si="4"/>
        <v>3.2022819467789944E-4</v>
      </c>
      <c r="M15" s="18" t="str">
        <f t="shared" si="8"/>
        <v>∞</v>
      </c>
      <c r="N15" s="13">
        <f t="shared" si="9"/>
        <v>2</v>
      </c>
      <c r="O15" s="312">
        <f t="shared" si="10"/>
        <v>0.64045638935579885</v>
      </c>
      <c r="P15" s="19"/>
    </row>
    <row r="16" spans="1:16" s="8" customFormat="1" ht="21" customHeight="1">
      <c r="B16" s="76">
        <v>22.8</v>
      </c>
      <c r="C16" s="15">
        <f>Data!U51</f>
        <v>0</v>
      </c>
      <c r="D16" s="14">
        <f t="shared" si="5"/>
        <v>0</v>
      </c>
      <c r="E16" s="309">
        <f>'Uncert of STD'!D13</f>
        <v>7.0000000000000007E-5</v>
      </c>
      <c r="F16" s="310">
        <f t="shared" si="1"/>
        <v>3.5000000000000004E-5</v>
      </c>
      <c r="G16" s="14">
        <f t="shared" si="6"/>
        <v>2.6220000000000003E-4</v>
      </c>
      <c r="H16" s="14">
        <f t="shared" si="2"/>
        <v>1.5138124058151989E-4</v>
      </c>
      <c r="I16" s="311">
        <f t="shared" si="11"/>
        <v>5.0000000000000001E-4</v>
      </c>
      <c r="J16" s="16">
        <f t="shared" si="3"/>
        <v>2.886751345948129E-4</v>
      </c>
      <c r="K16" s="14">
        <f t="shared" si="7"/>
        <v>3.2783320962546388E-4</v>
      </c>
      <c r="L16" s="17">
        <f t="shared" si="4"/>
        <v>3.2783320962546388E-4</v>
      </c>
      <c r="M16" s="18" t="str">
        <f t="shared" si="8"/>
        <v>∞</v>
      </c>
      <c r="N16" s="13">
        <f t="shared" si="9"/>
        <v>2</v>
      </c>
      <c r="O16" s="312">
        <f t="shared" si="10"/>
        <v>0.65566641925092772</v>
      </c>
      <c r="P16" s="19"/>
    </row>
    <row r="17" spans="1:16" s="8" customFormat="1" ht="21" customHeight="1">
      <c r="B17" s="76">
        <v>25</v>
      </c>
      <c r="C17" s="15">
        <f>Data!U52</f>
        <v>0</v>
      </c>
      <c r="D17" s="14">
        <f t="shared" si="0"/>
        <v>0</v>
      </c>
      <c r="E17" s="309">
        <f>'Uncert of STD'!D14</f>
        <v>7.0000000000000007E-5</v>
      </c>
      <c r="F17" s="310">
        <f t="shared" si="1"/>
        <v>3.5000000000000004E-5</v>
      </c>
      <c r="G17" s="14">
        <f t="shared" si="6"/>
        <v>2.875E-4</v>
      </c>
      <c r="H17" s="14">
        <f t="shared" si="2"/>
        <v>1.6598820239201742E-4</v>
      </c>
      <c r="I17" s="311">
        <f t="shared" si="11"/>
        <v>5.0000000000000001E-4</v>
      </c>
      <c r="J17" s="16">
        <f t="shared" si="3"/>
        <v>2.886751345948129E-4</v>
      </c>
      <c r="K17" s="14">
        <f t="shared" si="7"/>
        <v>3.3482893642376054E-4</v>
      </c>
      <c r="L17" s="17">
        <f t="shared" si="4"/>
        <v>3.3482893642376054E-4</v>
      </c>
      <c r="M17" s="18" t="str">
        <f t="shared" si="8"/>
        <v>∞</v>
      </c>
      <c r="N17" s="13">
        <f t="shared" si="9"/>
        <v>2</v>
      </c>
      <c r="O17" s="312">
        <f t="shared" si="10"/>
        <v>0.6696578728475211</v>
      </c>
      <c r="P17" s="19"/>
    </row>
    <row r="18" spans="1:16" s="8" customFormat="1" ht="18" customHeight="1">
      <c r="B18" s="60"/>
      <c r="C18" s="65"/>
      <c r="D18" s="63"/>
      <c r="E18" s="61"/>
      <c r="F18" s="62"/>
      <c r="G18" s="63"/>
      <c r="H18" s="63"/>
      <c r="I18" s="65"/>
      <c r="J18" s="66"/>
      <c r="K18" s="63"/>
      <c r="L18" s="64"/>
      <c r="M18" s="67"/>
      <c r="N18" s="60"/>
      <c r="O18" s="60"/>
      <c r="P18" s="19"/>
    </row>
    <row r="19" spans="1:16" s="8" customFormat="1" ht="18" customHeight="1">
      <c r="B19" s="68"/>
      <c r="C19" s="73"/>
      <c r="D19" s="71"/>
      <c r="E19" s="69"/>
      <c r="F19" s="70"/>
      <c r="G19" s="71"/>
      <c r="H19" s="71"/>
      <c r="I19" s="73"/>
      <c r="J19" s="74"/>
      <c r="K19" s="71"/>
      <c r="L19" s="72"/>
      <c r="M19" s="75"/>
      <c r="N19" s="68"/>
      <c r="O19" s="68"/>
    </row>
    <row r="20" spans="1:16" s="8" customFormat="1" ht="18" customHeight="1">
      <c r="B20" s="68"/>
      <c r="C20" s="73"/>
      <c r="D20" s="71"/>
      <c r="E20" s="69"/>
      <c r="F20" s="70"/>
      <c r="G20" s="71"/>
      <c r="H20" s="71"/>
      <c r="I20" s="73"/>
      <c r="J20" s="74"/>
      <c r="K20" s="71"/>
      <c r="L20" s="72"/>
      <c r="M20" s="75"/>
      <c r="N20" s="68"/>
      <c r="O20" s="68"/>
    </row>
    <row r="21" spans="1:16" s="8" customFormat="1" ht="18" customHeight="1">
      <c r="A21" s="1"/>
      <c r="B21" s="68"/>
      <c r="C21" s="73"/>
      <c r="D21" s="71"/>
      <c r="E21" s="69"/>
      <c r="F21" s="70"/>
      <c r="G21" s="71"/>
      <c r="H21" s="71"/>
      <c r="I21" s="73"/>
      <c r="J21" s="74"/>
      <c r="K21" s="71"/>
      <c r="L21" s="72"/>
      <c r="M21" s="75"/>
      <c r="N21" s="68"/>
      <c r="O21" s="68"/>
    </row>
    <row r="22" spans="1:16" s="8" customFormat="1" ht="18" customHeight="1">
      <c r="A22" s="1"/>
      <c r="B22" s="68"/>
      <c r="C22" s="73"/>
      <c r="D22" s="71"/>
      <c r="E22" s="69"/>
      <c r="F22" s="70"/>
      <c r="G22" s="71"/>
      <c r="H22" s="71"/>
      <c r="I22" s="73"/>
      <c r="J22" s="74"/>
      <c r="K22" s="71"/>
      <c r="L22" s="72"/>
      <c r="M22" s="75"/>
      <c r="N22" s="68"/>
      <c r="O22" s="68"/>
    </row>
    <row r="23" spans="1:16" s="8" customFormat="1" ht="18" customHeight="1">
      <c r="A23" s="1"/>
      <c r="B23" s="68"/>
      <c r="C23" s="73"/>
      <c r="D23" s="71"/>
      <c r="E23" s="69"/>
      <c r="F23" s="70"/>
      <c r="G23" s="71"/>
      <c r="H23" s="71"/>
      <c r="I23" s="73"/>
      <c r="J23" s="74"/>
      <c r="K23" s="71"/>
      <c r="L23" s="72"/>
      <c r="M23" s="75"/>
      <c r="N23" s="68"/>
      <c r="O23" s="68"/>
    </row>
    <row r="24" spans="1:16" s="8" customFormat="1" ht="18" customHeight="1">
      <c r="A24" s="1"/>
      <c r="B24" s="70"/>
      <c r="C24" s="73"/>
      <c r="D24" s="71"/>
      <c r="E24" s="69"/>
      <c r="F24" s="70"/>
      <c r="G24" s="71"/>
      <c r="H24" s="71"/>
      <c r="I24" s="73"/>
      <c r="J24" s="74"/>
      <c r="K24" s="71"/>
      <c r="L24" s="72"/>
      <c r="M24" s="75"/>
      <c r="N24" s="68"/>
      <c r="O24" s="68"/>
    </row>
    <row r="25" spans="1:16" s="8" customFormat="1" ht="18" customHeight="1">
      <c r="A25" s="1"/>
      <c r="B25" s="70"/>
      <c r="C25" s="73"/>
      <c r="D25" s="71"/>
      <c r="E25" s="69"/>
      <c r="F25" s="70"/>
      <c r="G25" s="71"/>
      <c r="H25" s="71"/>
      <c r="I25" s="73"/>
      <c r="J25" s="74"/>
      <c r="K25" s="71"/>
      <c r="L25" s="72"/>
      <c r="M25" s="75"/>
      <c r="N25" s="68"/>
      <c r="O25" s="68"/>
    </row>
    <row r="26" spans="1:16" s="8" customFormat="1" ht="18" customHeight="1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2"/>
    </row>
    <row r="27" spans="1:16" s="8" customFormat="1" ht="18" customHeight="1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6" s="8" customFormat="1" ht="18" customHeight="1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6" s="23" customFormat="1" ht="18" customHeight="1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6" s="23" customFormat="1" ht="18" customHeight="1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6" s="23" customFormat="1" ht="18" customHeight="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6" s="23" customFormat="1" ht="18" customHeight="1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s="23" customFormat="1" ht="18" customHeight="1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s="23" customFormat="1" ht="18" customHeight="1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s="23" customFormat="1" ht="18" customHeight="1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s="23" customFormat="1" ht="18" customHeight="1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s="23" customFormat="1" ht="18" customHeight="1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s="24" customFormat="1" ht="18" customHeight="1">
      <c r="A38" s="155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s="23" customFormat="1" ht="18" customHeight="1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s="23" customFormat="1" ht="18" customHeight="1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s="23" customFormat="1" ht="18" customHeight="1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 s="23" customFormat="1" ht="18" customHeight="1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s="23" customFormat="1" ht="18" customHeight="1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s="23" customFormat="1" ht="18" customHeight="1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s="23" customFormat="1" ht="18" customHeight="1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s="23" customFormat="1" ht="18" customHeight="1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s="23" customFormat="1" ht="18" customHeight="1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s="23" customFormat="1" ht="18" customHeight="1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15" s="23" customFormat="1" ht="18" customHeight="1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 s="23" customFormat="1" ht="18" customHeight="1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s="23" customFormat="1" ht="18" customHeight="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2:15" s="23" customFormat="1" ht="18" customHeight="1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2:15" s="23" customFormat="1" ht="18" customHeight="1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2:15" s="23" customFormat="1" ht="18" customHeight="1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2:15" s="23" customFormat="1" ht="18" customHeight="1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2:15" s="23" customFormat="1" ht="18" customHeight="1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2:15" s="23" customFormat="1" ht="18" customHeight="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s="23" customFormat="1" ht="18" customHeight="1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s="23" customFormat="1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s="23" customFormat="1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s="23" customFormat="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s="23" customFormat="1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s="23" customFormat="1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s="23" customFormat="1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5" s="23" customFormat="1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2:15" s="23" customFormat="1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2:15" s="23" customFormat="1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2:15" s="23" customFormat="1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s="23" customFormat="1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2:15" s="23" customFormat="1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2:15" s="23" customFormat="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2:15" s="23" customFormat="1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2:15" s="23" customFormat="1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2:15" s="23" customFormat="1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2:15" s="23" customFormat="1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2:15" s="23" customFormat="1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2:15" s="23" customFormat="1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2:15" s="23" customFormat="1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2:15" s="23" customFormat="1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2:15" s="23" customFormat="1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2:15" s="23" customFormat="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2:15" s="23" customFormat="1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2:15" s="23" customFormat="1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2:15" s="23" customFormat="1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2:15" s="23" customFormat="1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2:15" s="23" customFormat="1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2:15" s="23" customFormat="1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2:15" s="23" customFormat="1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2:15" s="23" customForma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2:15" s="23" customFormat="1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2:15" s="23" customFormat="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2:15" s="23" customFormat="1">
      <c r="B92" s="25"/>
      <c r="C92" s="29"/>
      <c r="D92" s="25"/>
      <c r="E92" s="26"/>
      <c r="F92" s="27"/>
      <c r="G92" s="29"/>
      <c r="H92" s="29"/>
      <c r="I92" s="29"/>
      <c r="J92" s="30"/>
      <c r="K92" s="26"/>
      <c r="L92" s="27"/>
      <c r="M92" s="31"/>
      <c r="N92" s="32"/>
      <c r="O92" s="33"/>
    </row>
    <row r="93" spans="2:15" s="23" customFormat="1">
      <c r="B93" s="25"/>
      <c r="C93" s="29"/>
      <c r="D93" s="25"/>
      <c r="E93" s="26"/>
      <c r="F93" s="27"/>
      <c r="G93" s="29"/>
      <c r="H93" s="29"/>
      <c r="I93" s="29"/>
      <c r="J93" s="30"/>
      <c r="K93" s="26"/>
      <c r="L93" s="27"/>
      <c r="M93" s="31"/>
      <c r="N93" s="32"/>
      <c r="O93" s="33"/>
    </row>
    <row r="94" spans="2:15" s="23" customFormat="1">
      <c r="B94" s="25"/>
      <c r="C94" s="29"/>
      <c r="D94" s="25"/>
      <c r="E94" s="26"/>
      <c r="F94" s="27"/>
      <c r="G94" s="29"/>
      <c r="H94" s="29"/>
      <c r="I94" s="29"/>
      <c r="J94" s="30"/>
      <c r="K94" s="26"/>
      <c r="L94" s="27"/>
      <c r="M94" s="31"/>
      <c r="N94" s="32"/>
      <c r="O94" s="33"/>
    </row>
    <row r="95" spans="2:15" s="23" customFormat="1">
      <c r="B95" s="25"/>
      <c r="C95" s="29"/>
      <c r="D95" s="25"/>
      <c r="E95" s="26"/>
      <c r="F95" s="27"/>
      <c r="G95" s="29"/>
      <c r="H95" s="29"/>
      <c r="I95" s="29"/>
      <c r="J95" s="30"/>
      <c r="K95" s="26"/>
      <c r="L95" s="27"/>
      <c r="M95" s="31"/>
      <c r="N95" s="32"/>
      <c r="O95" s="33"/>
    </row>
    <row r="96" spans="2:15" s="23" customFormat="1">
      <c r="B96" s="25"/>
      <c r="C96" s="29"/>
      <c r="D96" s="25"/>
      <c r="E96" s="26"/>
      <c r="F96" s="27"/>
      <c r="G96" s="29"/>
      <c r="H96" s="29"/>
      <c r="I96" s="29"/>
      <c r="J96" s="30"/>
      <c r="K96" s="26"/>
      <c r="L96" s="27"/>
      <c r="M96" s="31"/>
      <c r="N96" s="32"/>
      <c r="O96" s="33"/>
    </row>
    <row r="97" spans="2:15" s="23" customFormat="1">
      <c r="B97" s="25"/>
      <c r="C97" s="29"/>
      <c r="D97" s="25"/>
      <c r="E97" s="26"/>
      <c r="F97" s="27"/>
      <c r="G97" s="29"/>
      <c r="H97" s="29"/>
      <c r="I97" s="29"/>
      <c r="J97" s="30"/>
      <c r="K97" s="26"/>
      <c r="L97" s="27"/>
      <c r="M97" s="31"/>
      <c r="N97" s="32"/>
      <c r="O97" s="33"/>
    </row>
    <row r="98" spans="2:15" s="23" customFormat="1">
      <c r="B98" s="25"/>
      <c r="C98" s="29"/>
      <c r="D98" s="25"/>
      <c r="E98" s="26"/>
      <c r="F98" s="27"/>
      <c r="G98" s="29"/>
      <c r="H98" s="29"/>
      <c r="I98" s="29"/>
      <c r="J98" s="30"/>
      <c r="K98" s="26"/>
      <c r="L98" s="27"/>
      <c r="M98" s="31"/>
      <c r="N98" s="32"/>
      <c r="O98" s="33"/>
    </row>
    <row r="99" spans="2:15" s="23" customFormat="1">
      <c r="B99" s="25"/>
      <c r="C99" s="29"/>
      <c r="D99" s="25"/>
      <c r="E99" s="26"/>
      <c r="F99" s="27"/>
      <c r="G99" s="29"/>
      <c r="H99" s="29"/>
      <c r="I99" s="29"/>
      <c r="J99" s="30"/>
      <c r="K99" s="26"/>
      <c r="L99" s="27"/>
      <c r="M99" s="31"/>
      <c r="N99" s="32"/>
      <c r="O99" s="33"/>
    </row>
    <row r="100" spans="2:15" s="23" customFormat="1">
      <c r="B100" s="25"/>
      <c r="C100" s="29"/>
      <c r="D100" s="25"/>
      <c r="E100" s="26"/>
      <c r="F100" s="27"/>
      <c r="G100" s="29"/>
      <c r="H100" s="29"/>
      <c r="I100" s="29"/>
      <c r="J100" s="30"/>
      <c r="K100" s="26"/>
      <c r="L100" s="27"/>
      <c r="M100" s="31"/>
      <c r="N100" s="32"/>
      <c r="O100" s="33"/>
    </row>
    <row r="101" spans="2:15" s="23" customFormat="1">
      <c r="B101" s="25"/>
      <c r="C101" s="29"/>
      <c r="D101" s="25"/>
      <c r="E101" s="26"/>
      <c r="F101" s="27"/>
      <c r="G101" s="29"/>
      <c r="H101" s="29"/>
      <c r="I101" s="29"/>
      <c r="J101" s="30"/>
      <c r="K101" s="26"/>
      <c r="L101" s="27"/>
      <c r="M101" s="31"/>
      <c r="N101" s="32"/>
      <c r="O101" s="33"/>
    </row>
    <row r="102" spans="2:15" s="23" customFormat="1">
      <c r="B102" s="25"/>
      <c r="C102" s="29"/>
      <c r="D102" s="25"/>
      <c r="E102" s="26"/>
      <c r="F102" s="27"/>
      <c r="G102" s="29"/>
      <c r="H102" s="29"/>
      <c r="I102" s="29"/>
      <c r="J102" s="30"/>
      <c r="K102" s="26"/>
      <c r="L102" s="27"/>
      <c r="M102" s="31"/>
      <c r="N102" s="32"/>
      <c r="O102" s="33"/>
    </row>
    <row r="103" spans="2:15" s="23" customFormat="1">
      <c r="B103" s="25"/>
      <c r="C103" s="29"/>
      <c r="D103" s="25"/>
      <c r="E103" s="26"/>
      <c r="F103" s="27"/>
      <c r="G103" s="29"/>
      <c r="H103" s="29"/>
      <c r="I103" s="29"/>
      <c r="J103" s="30"/>
      <c r="K103" s="26"/>
      <c r="L103" s="27"/>
      <c r="M103" s="31"/>
      <c r="N103" s="32"/>
      <c r="O103" s="33"/>
    </row>
    <row r="104" spans="2:15" s="23" customFormat="1">
      <c r="B104" s="25"/>
      <c r="C104" s="29"/>
      <c r="D104" s="25"/>
      <c r="E104" s="26"/>
      <c r="F104" s="27"/>
      <c r="G104" s="29"/>
      <c r="H104" s="29"/>
      <c r="I104" s="29"/>
      <c r="J104" s="30"/>
      <c r="K104" s="26"/>
      <c r="L104" s="27"/>
      <c r="M104" s="31"/>
      <c r="N104" s="32"/>
      <c r="O104" s="33"/>
    </row>
    <row r="105" spans="2:15" s="23" customFormat="1">
      <c r="B105" s="25"/>
      <c r="C105" s="29"/>
      <c r="D105" s="25"/>
      <c r="E105" s="26"/>
      <c r="F105" s="27"/>
      <c r="G105" s="29"/>
      <c r="H105" s="29"/>
      <c r="I105" s="29"/>
      <c r="J105" s="30"/>
      <c r="K105" s="26"/>
      <c r="L105" s="27"/>
      <c r="M105" s="31"/>
      <c r="N105" s="32"/>
      <c r="O105" s="33"/>
    </row>
    <row r="106" spans="2:15" s="23" customFormat="1">
      <c r="B106" s="25"/>
      <c r="C106" s="29"/>
      <c r="D106" s="25"/>
      <c r="E106" s="26"/>
      <c r="F106" s="27"/>
      <c r="G106" s="29"/>
      <c r="H106" s="29"/>
      <c r="I106" s="29"/>
      <c r="J106" s="30"/>
      <c r="K106" s="26"/>
      <c r="L106" s="27"/>
      <c r="M106" s="31"/>
      <c r="N106" s="32"/>
      <c r="O106" s="33"/>
    </row>
    <row r="107" spans="2:15" s="23" customFormat="1">
      <c r="B107" s="25"/>
      <c r="C107" s="29"/>
      <c r="D107" s="25"/>
      <c r="E107" s="26"/>
      <c r="F107" s="27"/>
      <c r="G107" s="29"/>
      <c r="H107" s="29"/>
      <c r="I107" s="29"/>
      <c r="J107" s="30"/>
      <c r="K107" s="26"/>
      <c r="L107" s="27"/>
      <c r="M107" s="31"/>
      <c r="N107" s="32"/>
      <c r="O107" s="33"/>
    </row>
    <row r="108" spans="2:15" s="23" customFormat="1">
      <c r="B108" s="34"/>
      <c r="C108" s="29"/>
      <c r="D108" s="34"/>
      <c r="E108" s="34"/>
      <c r="F108" s="35"/>
      <c r="G108" s="35"/>
      <c r="H108" s="35"/>
      <c r="I108" s="35"/>
      <c r="J108" s="35"/>
      <c r="K108" s="35"/>
      <c r="L108" s="35"/>
      <c r="M108" s="31"/>
      <c r="N108" s="32"/>
      <c r="O108" s="33"/>
    </row>
    <row r="109" spans="2:15" s="23" customFormat="1">
      <c r="B109" s="25"/>
      <c r="C109" s="29"/>
      <c r="D109" s="25"/>
      <c r="E109" s="26"/>
      <c r="F109" s="30"/>
      <c r="G109" s="28"/>
      <c r="H109" s="28"/>
      <c r="I109" s="28"/>
      <c r="J109" s="30"/>
      <c r="K109" s="28"/>
      <c r="L109" s="30"/>
      <c r="M109" s="31"/>
      <c r="N109" s="32"/>
      <c r="O109" s="33"/>
    </row>
    <row r="110" spans="2:15" s="23" customFormat="1">
      <c r="B110" s="34"/>
      <c r="C110" s="29"/>
      <c r="D110" s="34"/>
      <c r="E110" s="34"/>
      <c r="F110" s="35"/>
      <c r="G110" s="35"/>
      <c r="H110" s="35"/>
      <c r="I110" s="35"/>
      <c r="J110" s="35"/>
      <c r="K110" s="35"/>
      <c r="L110" s="35"/>
      <c r="M110" s="31"/>
      <c r="N110" s="32"/>
      <c r="O110" s="33"/>
    </row>
    <row r="111" spans="2:15" s="23" customFormat="1">
      <c r="B111" s="25"/>
      <c r="C111" s="29"/>
      <c r="D111" s="25"/>
      <c r="E111" s="26"/>
      <c r="F111" s="30"/>
      <c r="G111" s="29"/>
      <c r="H111" s="29"/>
      <c r="I111" s="29"/>
      <c r="J111" s="30"/>
      <c r="K111" s="26"/>
      <c r="L111" s="27"/>
      <c r="M111" s="31"/>
      <c r="N111" s="32"/>
      <c r="O111" s="33"/>
    </row>
    <row r="112" spans="2:15" s="23" customFormat="1">
      <c r="B112" s="25"/>
      <c r="C112" s="29"/>
      <c r="D112" s="25"/>
      <c r="E112" s="26"/>
      <c r="F112" s="27"/>
      <c r="G112" s="29"/>
      <c r="H112" s="29"/>
      <c r="I112" s="29"/>
      <c r="J112" s="30"/>
      <c r="K112" s="26"/>
      <c r="L112" s="27"/>
      <c r="M112" s="31"/>
      <c r="N112" s="32"/>
      <c r="O112" s="33"/>
    </row>
    <row r="113" spans="2:15" s="23" customFormat="1">
      <c r="B113" s="25"/>
      <c r="C113" s="29"/>
      <c r="D113" s="25"/>
      <c r="E113" s="26"/>
      <c r="F113" s="36"/>
      <c r="G113" s="26"/>
      <c r="H113" s="26"/>
      <c r="I113" s="29"/>
      <c r="J113" s="30"/>
      <c r="K113" s="26"/>
      <c r="L113" s="36"/>
      <c r="M113" s="31"/>
      <c r="N113" s="32"/>
      <c r="O113" s="33"/>
    </row>
    <row r="114" spans="2:15" s="23" customFormat="1">
      <c r="B114" s="25"/>
      <c r="C114" s="29"/>
      <c r="D114" s="25"/>
      <c r="E114" s="26"/>
      <c r="F114" s="36"/>
      <c r="G114" s="26"/>
      <c r="H114" s="26"/>
      <c r="I114" s="29"/>
      <c r="J114" s="30"/>
      <c r="K114" s="26"/>
      <c r="L114" s="36"/>
      <c r="M114" s="31"/>
      <c r="N114" s="32"/>
      <c r="O114" s="33"/>
    </row>
    <row r="115" spans="2:15" s="23" customFormat="1">
      <c r="B115" s="25"/>
      <c r="C115" s="29"/>
      <c r="D115" s="25"/>
      <c r="E115" s="26"/>
      <c r="F115" s="36"/>
      <c r="G115" s="26"/>
      <c r="H115" s="26"/>
      <c r="I115" s="29"/>
      <c r="J115" s="30"/>
      <c r="K115" s="26"/>
      <c r="L115" s="36"/>
      <c r="M115" s="31"/>
      <c r="N115" s="32"/>
      <c r="O115" s="33"/>
    </row>
    <row r="116" spans="2:15" s="23" customFormat="1">
      <c r="B116" s="25"/>
      <c r="C116" s="29"/>
      <c r="D116" s="25"/>
      <c r="E116" s="26"/>
      <c r="F116" s="36"/>
      <c r="G116" s="26"/>
      <c r="H116" s="26"/>
      <c r="I116" s="29"/>
      <c r="J116" s="30"/>
      <c r="K116" s="26"/>
      <c r="L116" s="36"/>
      <c r="M116" s="31"/>
      <c r="N116" s="32"/>
      <c r="O116" s="33"/>
    </row>
    <row r="117" spans="2:15" s="23" customFormat="1">
      <c r="B117" s="25"/>
      <c r="C117" s="29"/>
      <c r="D117" s="25"/>
      <c r="E117" s="26"/>
      <c r="F117" s="36"/>
      <c r="G117" s="26"/>
      <c r="H117" s="26"/>
      <c r="I117" s="29"/>
      <c r="J117" s="30"/>
      <c r="K117" s="26"/>
      <c r="L117" s="36"/>
      <c r="M117" s="31"/>
      <c r="N117" s="32"/>
      <c r="O117" s="33"/>
    </row>
    <row r="118" spans="2:15" s="23" customFormat="1">
      <c r="B118" s="25"/>
      <c r="C118" s="29"/>
      <c r="D118" s="25"/>
      <c r="E118" s="26"/>
      <c r="F118" s="36"/>
      <c r="G118" s="26"/>
      <c r="H118" s="26"/>
      <c r="I118" s="29"/>
      <c r="J118" s="30"/>
      <c r="K118" s="26"/>
      <c r="L118" s="36"/>
      <c r="M118" s="31"/>
      <c r="N118" s="32"/>
      <c r="O118" s="33"/>
    </row>
    <row r="119" spans="2:15" s="23" customFormat="1">
      <c r="B119" s="25"/>
      <c r="C119" s="29"/>
      <c r="D119" s="25"/>
      <c r="E119" s="26"/>
      <c r="F119" s="36"/>
      <c r="G119" s="26"/>
      <c r="H119" s="26"/>
      <c r="I119" s="29"/>
      <c r="J119" s="30"/>
      <c r="K119" s="26"/>
      <c r="L119" s="36"/>
      <c r="M119" s="31"/>
      <c r="N119" s="32"/>
      <c r="O119" s="33"/>
    </row>
    <row r="120" spans="2:15" s="23" customFormat="1">
      <c r="B120" s="25"/>
      <c r="C120" s="29"/>
      <c r="D120" s="25"/>
      <c r="E120" s="26"/>
      <c r="F120" s="36"/>
      <c r="G120" s="26"/>
      <c r="H120" s="26"/>
      <c r="I120" s="29"/>
      <c r="J120" s="30"/>
      <c r="K120" s="26"/>
      <c r="L120" s="36"/>
      <c r="M120" s="31"/>
      <c r="N120" s="32"/>
      <c r="O120" s="33"/>
    </row>
    <row r="121" spans="2:15" s="23" customFormat="1">
      <c r="B121" s="25"/>
      <c r="C121" s="29"/>
      <c r="D121" s="25"/>
      <c r="E121" s="26"/>
      <c r="F121" s="36"/>
      <c r="G121" s="26"/>
      <c r="H121" s="26"/>
      <c r="I121" s="29"/>
      <c r="J121" s="30"/>
      <c r="K121" s="26"/>
      <c r="L121" s="36"/>
      <c r="M121" s="31"/>
      <c r="N121" s="32"/>
      <c r="O121" s="33"/>
    </row>
    <row r="122" spans="2:15" s="23" customFormat="1">
      <c r="B122" s="25"/>
      <c r="C122" s="29"/>
      <c r="D122" s="25"/>
      <c r="E122" s="26"/>
      <c r="F122" s="36"/>
      <c r="G122" s="26"/>
      <c r="H122" s="26"/>
      <c r="I122" s="29"/>
      <c r="J122" s="30"/>
      <c r="K122" s="26"/>
      <c r="L122" s="36"/>
      <c r="M122" s="31"/>
      <c r="N122" s="32"/>
      <c r="O122" s="33"/>
    </row>
    <row r="123" spans="2:15" s="23" customFormat="1">
      <c r="B123" s="25"/>
      <c r="C123" s="29"/>
      <c r="D123" s="25"/>
      <c r="E123" s="26"/>
      <c r="F123" s="36"/>
      <c r="G123" s="26"/>
      <c r="H123" s="26"/>
      <c r="I123" s="29"/>
      <c r="J123" s="30"/>
      <c r="K123" s="26"/>
      <c r="L123" s="36"/>
      <c r="M123" s="31"/>
      <c r="N123" s="32"/>
      <c r="O123" s="33"/>
    </row>
    <row r="124" spans="2:15" s="23" customFormat="1">
      <c r="B124" s="25"/>
      <c r="C124" s="34"/>
      <c r="D124" s="25"/>
      <c r="E124" s="26"/>
      <c r="F124" s="36"/>
      <c r="G124" s="26"/>
      <c r="H124" s="26"/>
      <c r="I124" s="29"/>
      <c r="J124" s="30"/>
      <c r="K124" s="26"/>
      <c r="L124" s="36"/>
      <c r="M124" s="31"/>
      <c r="N124" s="32"/>
      <c r="O124" s="33"/>
    </row>
    <row r="125" spans="2:15" s="23" customFormat="1">
      <c r="B125" s="25"/>
      <c r="C125" s="34"/>
      <c r="D125" s="25"/>
      <c r="E125" s="26"/>
      <c r="F125" s="36"/>
      <c r="G125" s="26"/>
      <c r="H125" s="26"/>
      <c r="I125" s="29"/>
      <c r="J125" s="30"/>
      <c r="K125" s="26"/>
      <c r="L125" s="36"/>
      <c r="M125" s="31"/>
      <c r="N125" s="32"/>
      <c r="O125" s="33"/>
    </row>
    <row r="126" spans="2:15" s="23" customFormat="1">
      <c r="B126" s="37"/>
      <c r="C126" s="38"/>
      <c r="D126" s="33"/>
      <c r="E126" s="35"/>
      <c r="F126" s="33"/>
      <c r="G126" s="33"/>
      <c r="H126" s="33"/>
      <c r="I126" s="38"/>
      <c r="J126" s="33"/>
      <c r="K126" s="33"/>
      <c r="L126" s="33"/>
      <c r="M126" s="31"/>
      <c r="N126" s="32"/>
      <c r="O126" s="33"/>
    </row>
    <row r="127" spans="2:15" s="23" customFormat="1">
      <c r="B127" s="37"/>
      <c r="C127" s="38"/>
      <c r="D127" s="33"/>
      <c r="E127" s="35"/>
      <c r="F127" s="33"/>
      <c r="G127" s="33"/>
      <c r="H127" s="33"/>
      <c r="I127" s="38"/>
      <c r="J127" s="33"/>
      <c r="K127" s="33"/>
      <c r="L127" s="33"/>
      <c r="M127" s="31"/>
      <c r="N127" s="32"/>
      <c r="O127" s="33"/>
    </row>
    <row r="128" spans="2:15" s="23" customFormat="1">
      <c r="B128" s="37"/>
      <c r="C128" s="38"/>
      <c r="D128" s="33"/>
      <c r="E128" s="35"/>
      <c r="F128" s="33"/>
      <c r="G128" s="33"/>
      <c r="H128" s="33"/>
      <c r="I128" s="38"/>
      <c r="J128" s="33"/>
      <c r="K128" s="33"/>
      <c r="L128" s="33"/>
      <c r="M128" s="31"/>
      <c r="N128" s="32"/>
      <c r="O128" s="33"/>
    </row>
    <row r="129" spans="2:15" s="23" customFormat="1">
      <c r="B129" s="37"/>
      <c r="C129" s="38"/>
      <c r="D129" s="33"/>
      <c r="E129" s="35"/>
      <c r="F129" s="33"/>
      <c r="G129" s="33"/>
      <c r="H129" s="33"/>
      <c r="I129" s="38"/>
      <c r="J129" s="33"/>
      <c r="K129" s="33"/>
      <c r="L129" s="33"/>
      <c r="M129" s="31"/>
      <c r="N129" s="32"/>
      <c r="O129" s="33"/>
    </row>
    <row r="130" spans="2:15" s="23" customFormat="1">
      <c r="B130" s="37"/>
      <c r="C130" s="38"/>
      <c r="D130" s="33"/>
      <c r="E130" s="35"/>
      <c r="F130" s="33"/>
      <c r="G130" s="33"/>
      <c r="H130" s="33"/>
      <c r="I130" s="38"/>
      <c r="J130" s="33"/>
      <c r="K130" s="33"/>
      <c r="L130" s="33"/>
      <c r="M130" s="31"/>
      <c r="N130" s="32"/>
      <c r="O130" s="33"/>
    </row>
    <row r="131" spans="2:15" s="23" customFormat="1">
      <c r="B131" s="37"/>
      <c r="C131" s="38"/>
      <c r="D131" s="33"/>
      <c r="E131" s="35"/>
      <c r="F131" s="33"/>
      <c r="G131" s="33"/>
      <c r="H131" s="33"/>
      <c r="I131" s="38"/>
      <c r="J131" s="33"/>
      <c r="K131" s="33"/>
      <c r="L131" s="33"/>
      <c r="M131" s="31"/>
      <c r="N131" s="32"/>
      <c r="O131" s="33"/>
    </row>
    <row r="132" spans="2:15" s="23" customFormat="1">
      <c r="B132" s="37"/>
      <c r="C132" s="38"/>
      <c r="D132" s="33"/>
      <c r="E132" s="35"/>
      <c r="F132" s="33"/>
      <c r="G132" s="33"/>
      <c r="H132" s="33"/>
      <c r="I132" s="38"/>
      <c r="J132" s="33"/>
      <c r="K132" s="33"/>
      <c r="L132" s="33"/>
      <c r="M132" s="31"/>
      <c r="N132" s="32"/>
      <c r="O132" s="33"/>
    </row>
    <row r="133" spans="2:15" s="23" customFormat="1">
      <c r="B133" s="37"/>
      <c r="C133" s="38"/>
      <c r="D133" s="33"/>
      <c r="E133" s="35"/>
      <c r="F133" s="33"/>
      <c r="G133" s="33"/>
      <c r="H133" s="33"/>
      <c r="I133" s="38"/>
      <c r="J133" s="33"/>
      <c r="K133" s="33"/>
      <c r="L133" s="33"/>
      <c r="M133" s="31"/>
      <c r="N133" s="32"/>
      <c r="O133" s="33"/>
    </row>
    <row r="134" spans="2:15" s="23" customFormat="1">
      <c r="B134" s="37"/>
      <c r="C134" s="38"/>
      <c r="D134" s="33"/>
      <c r="E134" s="35"/>
      <c r="F134" s="33"/>
      <c r="G134" s="33"/>
      <c r="H134" s="33"/>
      <c r="I134" s="38"/>
      <c r="J134" s="33"/>
      <c r="K134" s="33"/>
      <c r="L134" s="33"/>
      <c r="M134" s="31"/>
      <c r="N134" s="32"/>
      <c r="O134" s="33"/>
    </row>
  </sheetData>
  <mergeCells count="14">
    <mergeCell ref="B2:O2"/>
    <mergeCell ref="B3:F3"/>
    <mergeCell ref="E4:F4"/>
    <mergeCell ref="G4:H4"/>
    <mergeCell ref="I4:J4"/>
    <mergeCell ref="C4:D4"/>
    <mergeCell ref="C5:D5"/>
    <mergeCell ref="E5:F5"/>
    <mergeCell ref="G5:H5"/>
    <mergeCell ref="I5:J5"/>
    <mergeCell ref="N4:N5"/>
    <mergeCell ref="M4:M5"/>
    <mergeCell ref="L4:L5"/>
    <mergeCell ref="K4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AC56"/>
  <sheetViews>
    <sheetView workbookViewId="0">
      <selection activeCell="V5" sqref="V5"/>
    </sheetView>
  </sheetViews>
  <sheetFormatPr defaultColWidth="8.85546875" defaultRowHeight="23.25"/>
  <cols>
    <col min="1" max="2" width="5.42578125" customWidth="1"/>
    <col min="3" max="3" width="2.855468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3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3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3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3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669" t="s">
        <v>19</v>
      </c>
      <c r="B2" s="670"/>
      <c r="C2" s="670"/>
      <c r="D2" s="670"/>
      <c r="E2" s="671"/>
      <c r="F2" s="6"/>
      <c r="G2" s="669" t="s">
        <v>19</v>
      </c>
      <c r="H2" s="670"/>
      <c r="I2" s="670"/>
      <c r="J2" s="670"/>
      <c r="K2" s="671"/>
      <c r="L2" s="39"/>
      <c r="M2" s="669" t="s">
        <v>19</v>
      </c>
      <c r="N2" s="670"/>
      <c r="O2" s="670"/>
      <c r="P2" s="670"/>
      <c r="Q2" s="671"/>
      <c r="R2" s="39"/>
      <c r="S2" s="669" t="s">
        <v>19</v>
      </c>
      <c r="T2" s="670"/>
      <c r="U2" s="670"/>
      <c r="V2" s="670"/>
      <c r="W2" s="671"/>
      <c r="X2" s="39"/>
      <c r="Y2" s="669" t="s">
        <v>19</v>
      </c>
      <c r="Z2" s="670"/>
      <c r="AA2" s="670"/>
      <c r="AB2" s="670"/>
      <c r="AC2" s="671"/>
    </row>
    <row r="3" spans="1:29" ht="26.25">
      <c r="A3" s="661" t="s">
        <v>11</v>
      </c>
      <c r="B3" s="662"/>
      <c r="C3" s="662"/>
      <c r="D3" s="662"/>
      <c r="E3" s="663"/>
      <c r="F3" s="6"/>
      <c r="G3" s="661" t="s">
        <v>12</v>
      </c>
      <c r="H3" s="662"/>
      <c r="I3" s="662"/>
      <c r="J3" s="662"/>
      <c r="K3" s="663"/>
      <c r="L3" s="4"/>
      <c r="M3" s="661" t="s">
        <v>13</v>
      </c>
      <c r="N3" s="662"/>
      <c r="O3" s="662"/>
      <c r="P3" s="662"/>
      <c r="Q3" s="663"/>
      <c r="R3" s="4"/>
      <c r="S3" s="661" t="s">
        <v>14</v>
      </c>
      <c r="T3" s="662"/>
      <c r="U3" s="662"/>
      <c r="V3" s="662"/>
      <c r="W3" s="663"/>
      <c r="X3" s="4"/>
      <c r="Y3" s="661" t="s">
        <v>15</v>
      </c>
      <c r="Z3" s="662"/>
      <c r="AA3" s="662"/>
      <c r="AB3" s="662"/>
      <c r="AC3" s="663"/>
    </row>
    <row r="4" spans="1:29" ht="26.25">
      <c r="A4" s="664" t="s">
        <v>9</v>
      </c>
      <c r="B4" s="665"/>
      <c r="C4" s="666">
        <v>42337</v>
      </c>
      <c r="D4" s="667"/>
      <c r="E4" s="668"/>
      <c r="F4" s="39"/>
      <c r="G4" s="664" t="s">
        <v>9</v>
      </c>
      <c r="H4" s="665"/>
      <c r="I4" s="666">
        <v>42503</v>
      </c>
      <c r="J4" s="667"/>
      <c r="K4" s="668"/>
      <c r="L4" s="4"/>
      <c r="M4" s="664" t="s">
        <v>9</v>
      </c>
      <c r="N4" s="665"/>
      <c r="O4" s="666">
        <v>42337</v>
      </c>
      <c r="P4" s="667"/>
      <c r="Q4" s="668"/>
      <c r="R4" s="4"/>
      <c r="S4" s="664" t="s">
        <v>9</v>
      </c>
      <c r="T4" s="665"/>
      <c r="U4" s="666">
        <v>42502</v>
      </c>
      <c r="V4" s="667"/>
      <c r="W4" s="668"/>
      <c r="X4" s="4"/>
      <c r="Y4" s="664" t="s">
        <v>9</v>
      </c>
      <c r="Z4" s="665"/>
      <c r="AA4" s="666">
        <v>42530</v>
      </c>
      <c r="AB4" s="667"/>
      <c r="AC4" s="668"/>
    </row>
    <row r="5" spans="1:29" ht="26.25">
      <c r="A5" s="42">
        <v>2.5</v>
      </c>
      <c r="B5" s="43">
        <v>0.06</v>
      </c>
      <c r="C5" s="44" t="s">
        <v>16</v>
      </c>
      <c r="D5" s="45">
        <f>B5/1000</f>
        <v>5.9999999999999995E-5</v>
      </c>
      <c r="E5" s="46" t="s">
        <v>10</v>
      </c>
      <c r="F5" s="40"/>
      <c r="G5" s="42">
        <v>2.5</v>
      </c>
      <c r="H5" s="43">
        <v>0.08</v>
      </c>
      <c r="I5" s="47" t="s">
        <v>16</v>
      </c>
      <c r="J5" s="48">
        <f t="shared" ref="J5:J17" si="0">H5/1000</f>
        <v>8.0000000000000007E-5</v>
      </c>
      <c r="K5" s="49" t="s">
        <v>10</v>
      </c>
      <c r="L5" s="4"/>
      <c r="M5" s="50">
        <v>1.0049999999999999</v>
      </c>
      <c r="N5" s="43">
        <v>0.06</v>
      </c>
      <c r="O5" s="47" t="s">
        <v>16</v>
      </c>
      <c r="P5" s="48">
        <f t="shared" ref="P5:P51" si="1">N5/1000</f>
        <v>5.9999999999999995E-5</v>
      </c>
      <c r="Q5" s="49" t="s">
        <v>10</v>
      </c>
      <c r="R5" s="4"/>
      <c r="S5" s="51">
        <v>1</v>
      </c>
      <c r="T5" s="43">
        <v>0.08</v>
      </c>
      <c r="U5" s="47" t="s">
        <v>16</v>
      </c>
      <c r="V5" s="48">
        <f t="shared" ref="V5:V36" si="2">T5/1000</f>
        <v>8.0000000000000007E-5</v>
      </c>
      <c r="W5" s="49" t="s">
        <v>10</v>
      </c>
      <c r="X5" s="4"/>
      <c r="Y5" s="51">
        <v>125</v>
      </c>
      <c r="Z5" s="43">
        <v>0.42</v>
      </c>
      <c r="AA5" s="47" t="s">
        <v>16</v>
      </c>
      <c r="AB5" s="48">
        <f t="shared" ref="AB5:AB12" si="3">Z5/1000</f>
        <v>4.1999999999999996E-4</v>
      </c>
      <c r="AC5" s="49" t="s">
        <v>10</v>
      </c>
    </row>
    <row r="6" spans="1:29" ht="26.25">
      <c r="A6" s="42">
        <v>5.0999999999999996</v>
      </c>
      <c r="B6" s="43">
        <v>0.06</v>
      </c>
      <c r="C6" s="44" t="s">
        <v>16</v>
      </c>
      <c r="D6" s="45">
        <f t="shared" ref="D6:D14" si="4">B6/1000</f>
        <v>5.9999999999999995E-5</v>
      </c>
      <c r="E6" s="46" t="s">
        <v>10</v>
      </c>
      <c r="F6" s="41"/>
      <c r="G6" s="42">
        <v>5.0999999999999996</v>
      </c>
      <c r="H6" s="43">
        <v>0.09</v>
      </c>
      <c r="I6" s="47" t="s">
        <v>16</v>
      </c>
      <c r="J6" s="48">
        <f t="shared" si="0"/>
        <v>8.9999999999999992E-5</v>
      </c>
      <c r="K6" s="49" t="s">
        <v>10</v>
      </c>
      <c r="L6" s="5"/>
      <c r="M6" s="52">
        <v>1.01</v>
      </c>
      <c r="N6" s="43">
        <v>0.06</v>
      </c>
      <c r="O6" s="47" t="s">
        <v>16</v>
      </c>
      <c r="P6" s="48">
        <f t="shared" si="1"/>
        <v>5.9999999999999995E-5</v>
      </c>
      <c r="Q6" s="49" t="s">
        <v>10</v>
      </c>
      <c r="R6" s="5"/>
      <c r="S6" s="50">
        <v>1.0049999999999999</v>
      </c>
      <c r="T6" s="43">
        <v>0.08</v>
      </c>
      <c r="U6" s="47" t="s">
        <v>16</v>
      </c>
      <c r="V6" s="48">
        <f t="shared" si="2"/>
        <v>8.0000000000000007E-5</v>
      </c>
      <c r="W6" s="49" t="s">
        <v>10</v>
      </c>
      <c r="X6" s="5"/>
      <c r="Y6" s="51">
        <v>150</v>
      </c>
      <c r="Z6" s="43">
        <v>0.47</v>
      </c>
      <c r="AA6" s="47" t="s">
        <v>16</v>
      </c>
      <c r="AB6" s="48">
        <f t="shared" si="3"/>
        <v>4.6999999999999999E-4</v>
      </c>
      <c r="AC6" s="49" t="s">
        <v>10</v>
      </c>
    </row>
    <row r="7" spans="1:29" ht="26.25">
      <c r="A7" s="42">
        <v>7.7</v>
      </c>
      <c r="B7" s="43">
        <v>0.06</v>
      </c>
      <c r="C7" s="44" t="s">
        <v>16</v>
      </c>
      <c r="D7" s="45">
        <f t="shared" si="4"/>
        <v>5.9999999999999995E-5</v>
      </c>
      <c r="E7" s="46" t="s">
        <v>10</v>
      </c>
      <c r="F7" s="39"/>
      <c r="G7" s="42">
        <v>7.7</v>
      </c>
      <c r="H7" s="43">
        <v>0.09</v>
      </c>
      <c r="I7" s="47" t="s">
        <v>16</v>
      </c>
      <c r="J7" s="48">
        <f t="shared" si="0"/>
        <v>8.9999999999999992E-5</v>
      </c>
      <c r="K7" s="49" t="s">
        <v>10</v>
      </c>
      <c r="M7" s="52">
        <v>1.02</v>
      </c>
      <c r="N7" s="43">
        <v>0.06</v>
      </c>
      <c r="O7" s="47" t="s">
        <v>16</v>
      </c>
      <c r="P7" s="48">
        <f t="shared" si="1"/>
        <v>5.9999999999999995E-5</v>
      </c>
      <c r="Q7" s="49" t="s">
        <v>10</v>
      </c>
      <c r="S7" s="52">
        <v>1.01</v>
      </c>
      <c r="T7" s="43">
        <v>0.08</v>
      </c>
      <c r="U7" s="47" t="s">
        <v>16</v>
      </c>
      <c r="V7" s="48">
        <f t="shared" si="2"/>
        <v>8.0000000000000007E-5</v>
      </c>
      <c r="W7" s="49" t="s">
        <v>10</v>
      </c>
      <c r="Y7" s="51">
        <v>175</v>
      </c>
      <c r="Z7" s="43">
        <v>0.51</v>
      </c>
      <c r="AA7" s="47" t="s">
        <v>16</v>
      </c>
      <c r="AB7" s="48">
        <f t="shared" si="3"/>
        <v>5.1000000000000004E-4</v>
      </c>
      <c r="AC7" s="49" t="s">
        <v>10</v>
      </c>
    </row>
    <row r="8" spans="1:29" ht="26.25">
      <c r="A8" s="42">
        <v>10.3</v>
      </c>
      <c r="B8" s="43">
        <v>7.0000000000000007E-2</v>
      </c>
      <c r="C8" s="44" t="s">
        <v>16</v>
      </c>
      <c r="D8" s="45">
        <f t="shared" si="4"/>
        <v>7.0000000000000007E-5</v>
      </c>
      <c r="E8" s="46" t="s">
        <v>10</v>
      </c>
      <c r="F8" s="39"/>
      <c r="G8" s="42">
        <v>10.3</v>
      </c>
      <c r="H8" s="43">
        <v>0.09</v>
      </c>
      <c r="I8" s="47" t="s">
        <v>16</v>
      </c>
      <c r="J8" s="48">
        <f t="shared" si="0"/>
        <v>8.9999999999999992E-5</v>
      </c>
      <c r="K8" s="49" t="s">
        <v>10</v>
      </c>
      <c r="M8" s="52">
        <v>1.03</v>
      </c>
      <c r="N8" s="43">
        <v>0.06</v>
      </c>
      <c r="O8" s="47" t="s">
        <v>16</v>
      </c>
      <c r="P8" s="48">
        <f t="shared" si="1"/>
        <v>5.9999999999999995E-5</v>
      </c>
      <c r="Q8" s="49" t="s">
        <v>10</v>
      </c>
      <c r="S8" s="52">
        <v>1.02</v>
      </c>
      <c r="T8" s="43">
        <v>0.08</v>
      </c>
      <c r="U8" s="47" t="s">
        <v>16</v>
      </c>
      <c r="V8" s="48">
        <f t="shared" si="2"/>
        <v>8.0000000000000007E-5</v>
      </c>
      <c r="W8" s="49" t="s">
        <v>10</v>
      </c>
      <c r="Y8" s="51">
        <v>200</v>
      </c>
      <c r="Z8" s="43">
        <v>0.55000000000000004</v>
      </c>
      <c r="AA8" s="47" t="s">
        <v>16</v>
      </c>
      <c r="AB8" s="48">
        <f t="shared" si="3"/>
        <v>5.5000000000000003E-4</v>
      </c>
      <c r="AC8" s="49" t="s">
        <v>10</v>
      </c>
    </row>
    <row r="9" spans="1:29" ht="26.25">
      <c r="A9" s="42">
        <v>12.9</v>
      </c>
      <c r="B9" s="43">
        <v>7.0000000000000007E-2</v>
      </c>
      <c r="C9" s="44" t="s">
        <v>16</v>
      </c>
      <c r="D9" s="45">
        <f t="shared" si="4"/>
        <v>7.0000000000000007E-5</v>
      </c>
      <c r="E9" s="46" t="s">
        <v>10</v>
      </c>
      <c r="F9" s="39"/>
      <c r="G9" s="42">
        <v>12.9</v>
      </c>
      <c r="H9" s="43">
        <v>0.09</v>
      </c>
      <c r="I9" s="47" t="s">
        <v>16</v>
      </c>
      <c r="J9" s="48">
        <f t="shared" si="0"/>
        <v>8.9999999999999992E-5</v>
      </c>
      <c r="K9" s="49" t="s">
        <v>10</v>
      </c>
      <c r="M9" s="52">
        <v>1.04</v>
      </c>
      <c r="N9" s="43">
        <v>0.06</v>
      </c>
      <c r="O9" s="47" t="s">
        <v>16</v>
      </c>
      <c r="P9" s="48">
        <f t="shared" si="1"/>
        <v>5.9999999999999995E-5</v>
      </c>
      <c r="Q9" s="49" t="s">
        <v>10</v>
      </c>
      <c r="S9" s="52">
        <v>1.03</v>
      </c>
      <c r="T9" s="43">
        <v>0.08</v>
      </c>
      <c r="U9" s="47" t="s">
        <v>16</v>
      </c>
      <c r="V9" s="48">
        <f t="shared" si="2"/>
        <v>8.0000000000000007E-5</v>
      </c>
      <c r="W9" s="49" t="s">
        <v>10</v>
      </c>
      <c r="Y9" s="51">
        <v>250</v>
      </c>
      <c r="Z9" s="43">
        <v>0.63</v>
      </c>
      <c r="AA9" s="47" t="s">
        <v>16</v>
      </c>
      <c r="AB9" s="48">
        <f t="shared" si="3"/>
        <v>6.3000000000000003E-4</v>
      </c>
      <c r="AC9" s="49" t="s">
        <v>10</v>
      </c>
    </row>
    <row r="10" spans="1:29" ht="26.25">
      <c r="A10" s="42">
        <v>15</v>
      </c>
      <c r="B10" s="43">
        <v>7.0000000000000007E-2</v>
      </c>
      <c r="C10" s="44" t="s">
        <v>16</v>
      </c>
      <c r="D10" s="45">
        <f t="shared" si="4"/>
        <v>7.0000000000000007E-5</v>
      </c>
      <c r="E10" s="46" t="s">
        <v>10</v>
      </c>
      <c r="F10" s="39"/>
      <c r="G10" s="51">
        <v>15</v>
      </c>
      <c r="H10" s="43">
        <v>0.1</v>
      </c>
      <c r="I10" s="47" t="s">
        <v>16</v>
      </c>
      <c r="J10" s="48">
        <f t="shared" si="0"/>
        <v>1E-4</v>
      </c>
      <c r="K10" s="49" t="s">
        <v>10</v>
      </c>
      <c r="M10" s="52">
        <v>1.05</v>
      </c>
      <c r="N10" s="43">
        <v>0.06</v>
      </c>
      <c r="O10" s="47" t="s">
        <v>16</v>
      </c>
      <c r="P10" s="48">
        <f t="shared" si="1"/>
        <v>5.9999999999999995E-5</v>
      </c>
      <c r="Q10" s="49" t="s">
        <v>10</v>
      </c>
      <c r="S10" s="52">
        <v>1.04</v>
      </c>
      <c r="T10" s="43">
        <v>0.08</v>
      </c>
      <c r="U10" s="47" t="s">
        <v>16</v>
      </c>
      <c r="V10" s="48">
        <f t="shared" si="2"/>
        <v>8.0000000000000007E-5</v>
      </c>
      <c r="W10" s="49" t="s">
        <v>10</v>
      </c>
      <c r="Y10" s="51">
        <v>300</v>
      </c>
      <c r="Z10" s="43">
        <v>0.71</v>
      </c>
      <c r="AA10" s="47" t="s">
        <v>16</v>
      </c>
      <c r="AB10" s="48">
        <f t="shared" si="3"/>
        <v>7.0999999999999991E-4</v>
      </c>
      <c r="AC10" s="49" t="s">
        <v>10</v>
      </c>
    </row>
    <row r="11" spans="1:29" ht="26.25">
      <c r="A11" s="42">
        <v>17.600000000000001</v>
      </c>
      <c r="B11" s="43">
        <v>7.0000000000000007E-2</v>
      </c>
      <c r="C11" s="44" t="s">
        <v>16</v>
      </c>
      <c r="D11" s="45">
        <f t="shared" si="4"/>
        <v>7.0000000000000007E-5</v>
      </c>
      <c r="E11" s="46" t="s">
        <v>10</v>
      </c>
      <c r="F11" s="39"/>
      <c r="G11" s="42">
        <v>17.600000000000001</v>
      </c>
      <c r="H11" s="43">
        <v>0.1</v>
      </c>
      <c r="I11" s="47" t="s">
        <v>16</v>
      </c>
      <c r="J11" s="48">
        <f t="shared" si="0"/>
        <v>1E-4</v>
      </c>
      <c r="K11" s="49" t="s">
        <v>10</v>
      </c>
      <c r="M11" s="52">
        <v>1.06</v>
      </c>
      <c r="N11" s="43">
        <v>0.06</v>
      </c>
      <c r="O11" s="47" t="s">
        <v>16</v>
      </c>
      <c r="P11" s="48">
        <f t="shared" si="1"/>
        <v>5.9999999999999995E-5</v>
      </c>
      <c r="Q11" s="49" t="s">
        <v>10</v>
      </c>
      <c r="S11" s="52">
        <v>1.05</v>
      </c>
      <c r="T11" s="43">
        <v>0.08</v>
      </c>
      <c r="U11" s="47" t="s">
        <v>16</v>
      </c>
      <c r="V11" s="48">
        <f t="shared" si="2"/>
        <v>8.0000000000000007E-5</v>
      </c>
      <c r="W11" s="49" t="s">
        <v>10</v>
      </c>
      <c r="Y11" s="51">
        <v>400</v>
      </c>
      <c r="Z11" s="43">
        <v>0.89</v>
      </c>
      <c r="AA11" s="47" t="s">
        <v>16</v>
      </c>
      <c r="AB11" s="48">
        <f t="shared" si="3"/>
        <v>8.9000000000000006E-4</v>
      </c>
      <c r="AC11" s="49" t="s">
        <v>10</v>
      </c>
    </row>
    <row r="12" spans="1:29" ht="26.25">
      <c r="A12" s="42">
        <v>20.2</v>
      </c>
      <c r="B12" s="43">
        <v>7.0000000000000007E-2</v>
      </c>
      <c r="C12" s="44" t="s">
        <v>16</v>
      </c>
      <c r="D12" s="45">
        <f t="shared" si="4"/>
        <v>7.0000000000000007E-5</v>
      </c>
      <c r="E12" s="46" t="s">
        <v>10</v>
      </c>
      <c r="F12" s="39"/>
      <c r="G12" s="42">
        <v>20.2</v>
      </c>
      <c r="H12" s="43">
        <v>0.1</v>
      </c>
      <c r="I12" s="47" t="s">
        <v>16</v>
      </c>
      <c r="J12" s="48">
        <f t="shared" si="0"/>
        <v>1E-4</v>
      </c>
      <c r="K12" s="49" t="s">
        <v>10</v>
      </c>
      <c r="M12" s="52">
        <v>1.07</v>
      </c>
      <c r="N12" s="43">
        <v>0.06</v>
      </c>
      <c r="O12" s="47" t="s">
        <v>16</v>
      </c>
      <c r="P12" s="48">
        <f t="shared" si="1"/>
        <v>5.9999999999999995E-5</v>
      </c>
      <c r="Q12" s="49" t="s">
        <v>10</v>
      </c>
      <c r="S12" s="52">
        <v>1.06</v>
      </c>
      <c r="T12" s="43">
        <v>0.08</v>
      </c>
      <c r="U12" s="47" t="s">
        <v>16</v>
      </c>
      <c r="V12" s="48">
        <f t="shared" si="2"/>
        <v>8.0000000000000007E-5</v>
      </c>
      <c r="W12" s="49" t="s">
        <v>10</v>
      </c>
      <c r="Y12" s="51">
        <v>500</v>
      </c>
      <c r="Z12" s="43">
        <v>1.1000000000000001</v>
      </c>
      <c r="AA12" s="47" t="s">
        <v>16</v>
      </c>
      <c r="AB12" s="48">
        <f t="shared" si="3"/>
        <v>1.1000000000000001E-3</v>
      </c>
      <c r="AC12" s="49" t="s">
        <v>10</v>
      </c>
    </row>
    <row r="13" spans="1:29" ht="26.25">
      <c r="A13" s="42">
        <v>22.8</v>
      </c>
      <c r="B13" s="43">
        <v>7.0000000000000007E-2</v>
      </c>
      <c r="C13" s="44" t="s">
        <v>16</v>
      </c>
      <c r="D13" s="45">
        <f t="shared" si="4"/>
        <v>7.0000000000000007E-5</v>
      </c>
      <c r="E13" s="46" t="s">
        <v>10</v>
      </c>
      <c r="F13" s="39"/>
      <c r="G13" s="42">
        <v>22.8</v>
      </c>
      <c r="H13" s="43">
        <v>0.1</v>
      </c>
      <c r="I13" s="47" t="s">
        <v>16</v>
      </c>
      <c r="J13" s="48">
        <f t="shared" si="0"/>
        <v>1E-4</v>
      </c>
      <c r="K13" s="49" t="s">
        <v>10</v>
      </c>
      <c r="M13" s="52">
        <v>1.08</v>
      </c>
      <c r="N13" s="43">
        <v>0.06</v>
      </c>
      <c r="O13" s="47" t="s">
        <v>16</v>
      </c>
      <c r="P13" s="48">
        <f t="shared" si="1"/>
        <v>5.9999999999999995E-5</v>
      </c>
      <c r="Q13" s="49" t="s">
        <v>10</v>
      </c>
      <c r="S13" s="52">
        <v>1.07</v>
      </c>
      <c r="T13" s="43">
        <v>0.08</v>
      </c>
      <c r="U13" s="47" t="s">
        <v>16</v>
      </c>
      <c r="V13" s="48">
        <f t="shared" si="2"/>
        <v>8.0000000000000007E-5</v>
      </c>
      <c r="W13" s="49" t="s">
        <v>10</v>
      </c>
      <c r="Y13" s="8"/>
      <c r="Z13" s="8"/>
      <c r="AA13" s="8"/>
      <c r="AB13" s="8"/>
      <c r="AC13" s="8"/>
    </row>
    <row r="14" spans="1:29" ht="26.25">
      <c r="A14" s="42">
        <v>25</v>
      </c>
      <c r="B14" s="43">
        <v>7.0000000000000007E-2</v>
      </c>
      <c r="C14" s="53" t="s">
        <v>16</v>
      </c>
      <c r="D14" s="45">
        <f t="shared" si="4"/>
        <v>7.0000000000000007E-5</v>
      </c>
      <c r="E14" s="46" t="s">
        <v>10</v>
      </c>
      <c r="F14" s="39"/>
      <c r="G14" s="51">
        <v>25</v>
      </c>
      <c r="H14" s="43">
        <v>0.11</v>
      </c>
      <c r="I14" s="47" t="s">
        <v>16</v>
      </c>
      <c r="J14" s="48">
        <f t="shared" si="0"/>
        <v>1.1E-4</v>
      </c>
      <c r="K14" s="49" t="s">
        <v>10</v>
      </c>
      <c r="M14" s="52">
        <v>1.0900000000000001</v>
      </c>
      <c r="N14" s="43">
        <v>0.06</v>
      </c>
      <c r="O14" s="47" t="s">
        <v>16</v>
      </c>
      <c r="P14" s="48">
        <f t="shared" si="1"/>
        <v>5.9999999999999995E-5</v>
      </c>
      <c r="Q14" s="49" t="s">
        <v>10</v>
      </c>
      <c r="S14" s="52">
        <v>1.08</v>
      </c>
      <c r="T14" s="43">
        <v>0.08</v>
      </c>
      <c r="U14" s="47" t="s">
        <v>16</v>
      </c>
      <c r="V14" s="48">
        <f t="shared" si="2"/>
        <v>8.0000000000000007E-5</v>
      </c>
      <c r="W14" s="49" t="s">
        <v>10</v>
      </c>
      <c r="Y14" s="8"/>
      <c r="Z14" s="8"/>
      <c r="AA14" s="8"/>
      <c r="AB14" s="8"/>
      <c r="AC14" s="8"/>
    </row>
    <row r="15" spans="1:29" ht="26.25">
      <c r="A15" s="39"/>
      <c r="B15" s="39"/>
      <c r="C15" s="39"/>
      <c r="D15" s="39"/>
      <c r="E15" s="39"/>
      <c r="F15" s="39"/>
      <c r="G15" s="51">
        <v>50</v>
      </c>
      <c r="H15" s="43">
        <v>0.13</v>
      </c>
      <c r="I15" s="47" t="s">
        <v>16</v>
      </c>
      <c r="J15" s="48">
        <f t="shared" si="0"/>
        <v>1.3000000000000002E-4</v>
      </c>
      <c r="K15" s="49" t="s">
        <v>10</v>
      </c>
      <c r="M15" s="52">
        <v>1.1000000000000001</v>
      </c>
      <c r="N15" s="43">
        <v>0.06</v>
      </c>
      <c r="O15" s="47" t="s">
        <v>16</v>
      </c>
      <c r="P15" s="48">
        <f t="shared" si="1"/>
        <v>5.9999999999999995E-5</v>
      </c>
      <c r="Q15" s="49" t="s">
        <v>10</v>
      </c>
      <c r="S15" s="52">
        <v>1.0900000000000001</v>
      </c>
      <c r="T15" s="43">
        <v>0.08</v>
      </c>
      <c r="U15" s="47" t="s">
        <v>16</v>
      </c>
      <c r="V15" s="48">
        <f t="shared" si="2"/>
        <v>8.0000000000000007E-5</v>
      </c>
      <c r="W15" s="49" t="s">
        <v>10</v>
      </c>
      <c r="Y15" s="8"/>
      <c r="Z15" s="8"/>
      <c r="AA15" s="8"/>
      <c r="AB15" s="8"/>
      <c r="AC15" s="8"/>
    </row>
    <row r="16" spans="1:29" ht="26.25">
      <c r="A16" s="54" t="s">
        <v>17</v>
      </c>
      <c r="B16" s="55">
        <v>2</v>
      </c>
      <c r="C16" s="56"/>
      <c r="D16" s="39"/>
      <c r="E16" s="39"/>
      <c r="F16" s="39"/>
      <c r="G16" s="51">
        <v>75</v>
      </c>
      <c r="H16" s="43">
        <v>0.16</v>
      </c>
      <c r="I16" s="47" t="s">
        <v>16</v>
      </c>
      <c r="J16" s="48">
        <f t="shared" si="0"/>
        <v>1.6000000000000001E-4</v>
      </c>
      <c r="K16" s="49" t="s">
        <v>10</v>
      </c>
      <c r="M16" s="52">
        <v>1.2</v>
      </c>
      <c r="N16" s="43">
        <v>0.06</v>
      </c>
      <c r="O16" s="47" t="s">
        <v>16</v>
      </c>
      <c r="P16" s="48">
        <f t="shared" si="1"/>
        <v>5.9999999999999995E-5</v>
      </c>
      <c r="Q16" s="49" t="s">
        <v>10</v>
      </c>
      <c r="S16" s="52">
        <v>1.1000000000000001</v>
      </c>
      <c r="T16" s="43">
        <v>0.08</v>
      </c>
      <c r="U16" s="47" t="s">
        <v>16</v>
      </c>
      <c r="V16" s="48">
        <f t="shared" si="2"/>
        <v>8.0000000000000007E-5</v>
      </c>
      <c r="W16" s="49" t="s">
        <v>10</v>
      </c>
      <c r="Y16" s="8"/>
      <c r="Z16" s="8"/>
      <c r="AA16" s="8"/>
      <c r="AB16" s="8"/>
      <c r="AC16" s="8"/>
    </row>
    <row r="17" spans="1:29" ht="26.25">
      <c r="A17" s="57" t="s">
        <v>18</v>
      </c>
      <c r="B17" s="57">
        <v>5</v>
      </c>
      <c r="C17" s="56"/>
      <c r="D17" s="39"/>
      <c r="E17" s="39"/>
      <c r="F17" s="39"/>
      <c r="G17" s="51">
        <v>100</v>
      </c>
      <c r="H17" s="43">
        <v>0.18</v>
      </c>
      <c r="I17" s="47" t="s">
        <v>16</v>
      </c>
      <c r="J17" s="48">
        <f t="shared" si="0"/>
        <v>1.7999999999999998E-4</v>
      </c>
      <c r="K17" s="49" t="s">
        <v>10</v>
      </c>
      <c r="M17" s="52">
        <v>1.3</v>
      </c>
      <c r="N17" s="43">
        <v>0.06</v>
      </c>
      <c r="O17" s="47" t="s">
        <v>16</v>
      </c>
      <c r="P17" s="48">
        <f t="shared" si="1"/>
        <v>5.9999999999999995E-5</v>
      </c>
      <c r="Q17" s="49" t="s">
        <v>10</v>
      </c>
      <c r="S17" s="52">
        <v>1.2</v>
      </c>
      <c r="T17" s="43">
        <v>0.08</v>
      </c>
      <c r="U17" s="47" t="s">
        <v>16</v>
      </c>
      <c r="V17" s="48">
        <f t="shared" si="2"/>
        <v>8.0000000000000007E-5</v>
      </c>
      <c r="W17" s="49" t="s">
        <v>10</v>
      </c>
      <c r="Y17" s="8"/>
      <c r="Z17" s="8"/>
      <c r="AA17" s="8"/>
      <c r="AB17" s="8"/>
      <c r="AC17" s="8"/>
    </row>
    <row r="18" spans="1:29" ht="26.25">
      <c r="A18" s="8"/>
      <c r="B18" s="8"/>
      <c r="C18" s="8"/>
      <c r="D18" s="8"/>
      <c r="E18" s="8"/>
      <c r="F18" s="39"/>
      <c r="G18" s="8"/>
      <c r="H18" s="8"/>
      <c r="I18" s="8"/>
      <c r="J18" s="8"/>
      <c r="K18" s="8"/>
      <c r="M18" s="52">
        <v>1.4</v>
      </c>
      <c r="N18" s="43">
        <v>0.06</v>
      </c>
      <c r="O18" s="47" t="s">
        <v>16</v>
      </c>
      <c r="P18" s="48">
        <f t="shared" si="1"/>
        <v>5.9999999999999995E-5</v>
      </c>
      <c r="Q18" s="49" t="s">
        <v>10</v>
      </c>
      <c r="S18" s="52">
        <v>1.3</v>
      </c>
      <c r="T18" s="43">
        <v>0.08</v>
      </c>
      <c r="U18" s="47" t="s">
        <v>16</v>
      </c>
      <c r="V18" s="48">
        <f t="shared" si="2"/>
        <v>8.0000000000000007E-5</v>
      </c>
      <c r="W18" s="49" t="s">
        <v>10</v>
      </c>
      <c r="Y18" s="39"/>
      <c r="Z18" s="39"/>
      <c r="AA18" s="39"/>
      <c r="AB18" s="39"/>
      <c r="AC18" s="39"/>
    </row>
    <row r="19" spans="1:29" ht="26.25">
      <c r="A19" s="8"/>
      <c r="B19" s="8"/>
      <c r="C19" s="8"/>
      <c r="D19" s="8"/>
      <c r="E19" s="8"/>
      <c r="F19" s="39"/>
      <c r="G19" s="8"/>
      <c r="H19" s="8"/>
      <c r="I19" s="8"/>
      <c r="J19" s="8"/>
      <c r="K19" s="8"/>
      <c r="M19" s="52">
        <v>1.5</v>
      </c>
      <c r="N19" s="43">
        <v>0.06</v>
      </c>
      <c r="O19" s="47" t="s">
        <v>16</v>
      </c>
      <c r="P19" s="48">
        <f t="shared" si="1"/>
        <v>5.9999999999999995E-5</v>
      </c>
      <c r="Q19" s="49" t="s">
        <v>10</v>
      </c>
      <c r="S19" s="52">
        <v>1.4</v>
      </c>
      <c r="T19" s="43">
        <v>0.08</v>
      </c>
      <c r="U19" s="47" t="s">
        <v>16</v>
      </c>
      <c r="V19" s="48">
        <f t="shared" si="2"/>
        <v>8.0000000000000007E-5</v>
      </c>
      <c r="W19" s="49" t="s">
        <v>10</v>
      </c>
      <c r="Y19" s="39"/>
      <c r="Z19" s="39"/>
      <c r="AA19" s="39"/>
      <c r="AB19" s="39"/>
      <c r="AC19" s="39"/>
    </row>
    <row r="20" spans="1:29" ht="26.25">
      <c r="A20" s="8"/>
      <c r="B20" s="8"/>
      <c r="C20" s="8"/>
      <c r="D20" s="8"/>
      <c r="E20" s="8"/>
      <c r="F20" s="39"/>
      <c r="G20" s="8"/>
      <c r="H20" s="8"/>
      <c r="I20" s="8"/>
      <c r="J20" s="8"/>
      <c r="K20" s="8"/>
      <c r="M20" s="52">
        <v>1.6</v>
      </c>
      <c r="N20" s="43">
        <v>0.06</v>
      </c>
      <c r="O20" s="47" t="s">
        <v>16</v>
      </c>
      <c r="P20" s="48">
        <f t="shared" si="1"/>
        <v>5.9999999999999995E-5</v>
      </c>
      <c r="Q20" s="49" t="s">
        <v>10</v>
      </c>
      <c r="S20" s="52">
        <v>1.5</v>
      </c>
      <c r="T20" s="43">
        <v>0.08</v>
      </c>
      <c r="U20" s="47" t="s">
        <v>16</v>
      </c>
      <c r="V20" s="48">
        <f t="shared" si="2"/>
        <v>8.0000000000000007E-5</v>
      </c>
      <c r="W20" s="49" t="s">
        <v>10</v>
      </c>
    </row>
    <row r="21" spans="1:29" ht="26.25">
      <c r="A21" s="8"/>
      <c r="B21" s="8"/>
      <c r="C21" s="8"/>
      <c r="D21" s="8"/>
      <c r="E21" s="8"/>
      <c r="F21" s="39"/>
      <c r="G21" s="8"/>
      <c r="H21" s="8"/>
      <c r="I21" s="8"/>
      <c r="J21" s="8"/>
      <c r="K21" s="8"/>
      <c r="M21" s="52">
        <v>1.7</v>
      </c>
      <c r="N21" s="43">
        <v>0.06</v>
      </c>
      <c r="O21" s="47" t="s">
        <v>16</v>
      </c>
      <c r="P21" s="48">
        <f t="shared" si="1"/>
        <v>5.9999999999999995E-5</v>
      </c>
      <c r="Q21" s="49" t="s">
        <v>10</v>
      </c>
      <c r="S21" s="52">
        <v>1.6</v>
      </c>
      <c r="T21" s="43">
        <v>0.08</v>
      </c>
      <c r="U21" s="47" t="s">
        <v>16</v>
      </c>
      <c r="V21" s="48">
        <f t="shared" si="2"/>
        <v>8.0000000000000007E-5</v>
      </c>
      <c r="W21" s="49" t="s">
        <v>10</v>
      </c>
    </row>
    <row r="22" spans="1:29" ht="26.25">
      <c r="A22" s="8"/>
      <c r="B22" s="8"/>
      <c r="C22" s="8"/>
      <c r="D22" s="8"/>
      <c r="E22" s="8"/>
      <c r="F22" s="39"/>
      <c r="G22" s="8"/>
      <c r="H22" s="8"/>
      <c r="I22" s="8"/>
      <c r="J22" s="8"/>
      <c r="K22" s="8"/>
      <c r="M22" s="52">
        <v>1.8</v>
      </c>
      <c r="N22" s="43">
        <v>0.06</v>
      </c>
      <c r="O22" s="47" t="s">
        <v>16</v>
      </c>
      <c r="P22" s="48">
        <f t="shared" si="1"/>
        <v>5.9999999999999995E-5</v>
      </c>
      <c r="Q22" s="49" t="s">
        <v>10</v>
      </c>
      <c r="S22" s="52">
        <v>1.7</v>
      </c>
      <c r="T22" s="43">
        <v>0.08</v>
      </c>
      <c r="U22" s="47" t="s">
        <v>16</v>
      </c>
      <c r="V22" s="48">
        <f t="shared" si="2"/>
        <v>8.0000000000000007E-5</v>
      </c>
      <c r="W22" s="49" t="s">
        <v>10</v>
      </c>
    </row>
    <row r="23" spans="1:29" ht="26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M23" s="52">
        <v>1.9</v>
      </c>
      <c r="N23" s="43">
        <v>0.06</v>
      </c>
      <c r="O23" s="47" t="s">
        <v>16</v>
      </c>
      <c r="P23" s="48">
        <f t="shared" si="1"/>
        <v>5.9999999999999995E-5</v>
      </c>
      <c r="Q23" s="49" t="s">
        <v>10</v>
      </c>
      <c r="S23" s="52">
        <v>1.8</v>
      </c>
      <c r="T23" s="43">
        <v>0.08</v>
      </c>
      <c r="U23" s="47" t="s">
        <v>16</v>
      </c>
      <c r="V23" s="48">
        <f t="shared" si="2"/>
        <v>8.0000000000000007E-5</v>
      </c>
      <c r="W23" s="49" t="s">
        <v>10</v>
      </c>
    </row>
    <row r="24" spans="1:29" ht="26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M24" s="51">
        <v>1</v>
      </c>
      <c r="N24" s="43">
        <v>0.06</v>
      </c>
      <c r="O24" s="47" t="s">
        <v>16</v>
      </c>
      <c r="P24" s="48">
        <f t="shared" si="1"/>
        <v>5.9999999999999995E-5</v>
      </c>
      <c r="Q24" s="49" t="s">
        <v>10</v>
      </c>
      <c r="S24" s="52">
        <v>1.9</v>
      </c>
      <c r="T24" s="43">
        <v>0.08</v>
      </c>
      <c r="U24" s="47" t="s">
        <v>16</v>
      </c>
      <c r="V24" s="48">
        <f t="shared" si="2"/>
        <v>8.0000000000000007E-5</v>
      </c>
      <c r="W24" s="49" t="s">
        <v>10</v>
      </c>
    </row>
    <row r="25" spans="1:29" ht="26.25">
      <c r="A25" s="58"/>
      <c r="B25" s="59"/>
      <c r="C25" s="59"/>
      <c r="D25" s="39"/>
      <c r="E25" s="39"/>
      <c r="F25" s="39"/>
      <c r="M25" s="51">
        <v>2</v>
      </c>
      <c r="N25" s="43">
        <v>0.06</v>
      </c>
      <c r="O25" s="47" t="s">
        <v>16</v>
      </c>
      <c r="P25" s="48">
        <f t="shared" si="1"/>
        <v>5.9999999999999995E-5</v>
      </c>
      <c r="Q25" s="49" t="s">
        <v>10</v>
      </c>
      <c r="S25" s="51">
        <v>2</v>
      </c>
      <c r="T25" s="43">
        <v>0.08</v>
      </c>
      <c r="U25" s="47" t="s">
        <v>16</v>
      </c>
      <c r="V25" s="48">
        <f t="shared" si="2"/>
        <v>8.0000000000000007E-5</v>
      </c>
      <c r="W25" s="49" t="s">
        <v>10</v>
      </c>
    </row>
    <row r="26" spans="1:29" ht="26.25">
      <c r="A26" s="58"/>
      <c r="B26" s="59"/>
      <c r="C26" s="59"/>
      <c r="D26" s="39"/>
      <c r="E26" s="39"/>
      <c r="F26" s="39"/>
      <c r="M26" s="51">
        <v>3</v>
      </c>
      <c r="N26" s="43">
        <v>0.06</v>
      </c>
      <c r="O26" s="47" t="s">
        <v>16</v>
      </c>
      <c r="P26" s="48">
        <f t="shared" si="1"/>
        <v>5.9999999999999995E-5</v>
      </c>
      <c r="Q26" s="49" t="s">
        <v>10</v>
      </c>
      <c r="S26" s="51">
        <v>3</v>
      </c>
      <c r="T26" s="43">
        <v>0.08</v>
      </c>
      <c r="U26" s="47" t="s">
        <v>16</v>
      </c>
      <c r="V26" s="48">
        <f t="shared" si="2"/>
        <v>8.0000000000000007E-5</v>
      </c>
      <c r="W26" s="49" t="s">
        <v>10</v>
      </c>
    </row>
    <row r="27" spans="1:29" ht="26.25">
      <c r="A27" s="58"/>
      <c r="B27" s="59"/>
      <c r="C27" s="59"/>
      <c r="D27" s="39"/>
      <c r="E27" s="39"/>
      <c r="F27" s="39"/>
      <c r="M27" s="51">
        <v>4</v>
      </c>
      <c r="N27" s="43">
        <v>0.06</v>
      </c>
      <c r="O27" s="47" t="s">
        <v>16</v>
      </c>
      <c r="P27" s="48">
        <f t="shared" si="1"/>
        <v>5.9999999999999995E-5</v>
      </c>
      <c r="Q27" s="49" t="s">
        <v>10</v>
      </c>
      <c r="S27" s="51">
        <v>4</v>
      </c>
      <c r="T27" s="43">
        <v>0.08</v>
      </c>
      <c r="U27" s="47" t="s">
        <v>16</v>
      </c>
      <c r="V27" s="48">
        <f t="shared" si="2"/>
        <v>8.0000000000000007E-5</v>
      </c>
      <c r="W27" s="49" t="s">
        <v>10</v>
      </c>
    </row>
    <row r="28" spans="1:29">
      <c r="A28" s="6"/>
      <c r="B28" s="6"/>
      <c r="C28" s="6"/>
      <c r="D28" s="6"/>
      <c r="E28" s="6"/>
      <c r="F28" s="6"/>
      <c r="M28" s="51">
        <v>5</v>
      </c>
      <c r="N28" s="43">
        <v>0.06</v>
      </c>
      <c r="O28" s="47" t="s">
        <v>16</v>
      </c>
      <c r="P28" s="48">
        <f t="shared" si="1"/>
        <v>5.9999999999999995E-5</v>
      </c>
      <c r="Q28" s="49" t="s">
        <v>10</v>
      </c>
      <c r="S28" s="51">
        <v>5</v>
      </c>
      <c r="T28" s="43">
        <v>0.09</v>
      </c>
      <c r="U28" s="47" t="s">
        <v>16</v>
      </c>
      <c r="V28" s="48">
        <f t="shared" si="2"/>
        <v>8.9999999999999992E-5</v>
      </c>
      <c r="W28" s="49" t="s">
        <v>10</v>
      </c>
    </row>
    <row r="29" spans="1:29">
      <c r="A29" s="6"/>
      <c r="B29" s="6"/>
      <c r="C29" s="6"/>
      <c r="D29" s="6"/>
      <c r="E29" s="6"/>
      <c r="F29" s="6"/>
      <c r="M29" s="51">
        <v>6</v>
      </c>
      <c r="N29" s="43">
        <v>0.06</v>
      </c>
      <c r="O29" s="47" t="s">
        <v>16</v>
      </c>
      <c r="P29" s="48">
        <f t="shared" si="1"/>
        <v>5.9999999999999995E-5</v>
      </c>
      <c r="Q29" s="49" t="s">
        <v>10</v>
      </c>
      <c r="S29" s="51">
        <v>6</v>
      </c>
      <c r="T29" s="43">
        <v>0.09</v>
      </c>
      <c r="U29" s="47" t="s">
        <v>16</v>
      </c>
      <c r="V29" s="48">
        <f t="shared" si="2"/>
        <v>8.9999999999999992E-5</v>
      </c>
      <c r="W29" s="49" t="s">
        <v>10</v>
      </c>
    </row>
    <row r="30" spans="1:29">
      <c r="A30" s="6"/>
      <c r="B30" s="6"/>
      <c r="C30" s="6"/>
      <c r="D30" s="6"/>
      <c r="E30" s="6"/>
      <c r="F30" s="6"/>
      <c r="M30" s="51">
        <v>7</v>
      </c>
      <c r="N30" s="43">
        <v>0.06</v>
      </c>
      <c r="O30" s="47" t="s">
        <v>16</v>
      </c>
      <c r="P30" s="48">
        <f t="shared" si="1"/>
        <v>5.9999999999999995E-5</v>
      </c>
      <c r="Q30" s="49" t="s">
        <v>10</v>
      </c>
      <c r="S30" s="51">
        <v>7</v>
      </c>
      <c r="T30" s="43">
        <v>0.09</v>
      </c>
      <c r="U30" s="47" t="s">
        <v>16</v>
      </c>
      <c r="V30" s="48">
        <f t="shared" si="2"/>
        <v>8.9999999999999992E-5</v>
      </c>
      <c r="W30" s="49" t="s">
        <v>10</v>
      </c>
    </row>
    <row r="31" spans="1:29">
      <c r="M31" s="51">
        <v>8</v>
      </c>
      <c r="N31" s="43">
        <v>0.06</v>
      </c>
      <c r="O31" s="47" t="s">
        <v>16</v>
      </c>
      <c r="P31" s="48">
        <f t="shared" si="1"/>
        <v>5.9999999999999995E-5</v>
      </c>
      <c r="Q31" s="49" t="s">
        <v>10</v>
      </c>
      <c r="S31" s="51">
        <v>8</v>
      </c>
      <c r="T31" s="43">
        <v>0.09</v>
      </c>
      <c r="U31" s="47" t="s">
        <v>16</v>
      </c>
      <c r="V31" s="48">
        <f t="shared" si="2"/>
        <v>8.9999999999999992E-5</v>
      </c>
      <c r="W31" s="49" t="s">
        <v>10</v>
      </c>
    </row>
    <row r="32" spans="1:29">
      <c r="M32" s="51">
        <v>9</v>
      </c>
      <c r="N32" s="43">
        <v>0.06</v>
      </c>
      <c r="O32" s="47" t="s">
        <v>16</v>
      </c>
      <c r="P32" s="48">
        <f t="shared" si="1"/>
        <v>5.9999999999999995E-5</v>
      </c>
      <c r="Q32" s="49" t="s">
        <v>10</v>
      </c>
      <c r="S32" s="51">
        <v>9</v>
      </c>
      <c r="T32" s="43">
        <v>0.09</v>
      </c>
      <c r="U32" s="47" t="s">
        <v>16</v>
      </c>
      <c r="V32" s="48">
        <f t="shared" si="2"/>
        <v>8.9999999999999992E-5</v>
      </c>
      <c r="W32" s="49" t="s">
        <v>10</v>
      </c>
    </row>
    <row r="33" spans="13:23">
      <c r="M33" s="51">
        <v>10</v>
      </c>
      <c r="N33" s="43">
        <v>0.06</v>
      </c>
      <c r="O33" s="47" t="s">
        <v>16</v>
      </c>
      <c r="P33" s="48">
        <f t="shared" si="1"/>
        <v>5.9999999999999995E-5</v>
      </c>
      <c r="Q33" s="49" t="s">
        <v>10</v>
      </c>
      <c r="S33" s="51">
        <v>10</v>
      </c>
      <c r="T33" s="43">
        <v>0.09</v>
      </c>
      <c r="U33" s="47" t="s">
        <v>16</v>
      </c>
      <c r="V33" s="48">
        <f t="shared" si="2"/>
        <v>8.9999999999999992E-5</v>
      </c>
      <c r="W33" s="49" t="s">
        <v>10</v>
      </c>
    </row>
    <row r="34" spans="13:23">
      <c r="M34" s="51">
        <v>11</v>
      </c>
      <c r="N34" s="43">
        <v>7.0000000000000007E-2</v>
      </c>
      <c r="O34" s="47" t="s">
        <v>16</v>
      </c>
      <c r="P34" s="48">
        <f t="shared" si="1"/>
        <v>7.0000000000000007E-5</v>
      </c>
      <c r="Q34" s="49" t="s">
        <v>10</v>
      </c>
      <c r="S34" s="51">
        <v>20</v>
      </c>
      <c r="T34" s="43">
        <v>0.1</v>
      </c>
      <c r="U34" s="47" t="s">
        <v>16</v>
      </c>
      <c r="V34" s="48">
        <f t="shared" si="2"/>
        <v>1E-4</v>
      </c>
      <c r="W34" s="49" t="s">
        <v>10</v>
      </c>
    </row>
    <row r="35" spans="13:23">
      <c r="M35" s="51">
        <v>12</v>
      </c>
      <c r="N35" s="43">
        <v>7.0000000000000007E-2</v>
      </c>
      <c r="O35" s="47" t="s">
        <v>16</v>
      </c>
      <c r="P35" s="48">
        <f t="shared" si="1"/>
        <v>7.0000000000000007E-5</v>
      </c>
      <c r="Q35" s="49" t="s">
        <v>10</v>
      </c>
      <c r="S35" s="51">
        <v>30</v>
      </c>
      <c r="T35" s="43">
        <v>0.11</v>
      </c>
      <c r="U35" s="47" t="s">
        <v>16</v>
      </c>
      <c r="V35" s="48">
        <f t="shared" si="2"/>
        <v>1.1E-4</v>
      </c>
      <c r="W35" s="49" t="s">
        <v>10</v>
      </c>
    </row>
    <row r="36" spans="13:23">
      <c r="M36" s="51">
        <v>13</v>
      </c>
      <c r="N36" s="43">
        <v>7.0000000000000007E-2</v>
      </c>
      <c r="O36" s="47" t="s">
        <v>16</v>
      </c>
      <c r="P36" s="48">
        <f t="shared" si="1"/>
        <v>7.0000000000000007E-5</v>
      </c>
      <c r="Q36" s="49" t="s">
        <v>10</v>
      </c>
      <c r="S36" s="51">
        <v>50</v>
      </c>
      <c r="T36" s="43">
        <v>0.13</v>
      </c>
      <c r="U36" s="47" t="s">
        <v>16</v>
      </c>
      <c r="V36" s="48">
        <f t="shared" si="2"/>
        <v>1.3000000000000002E-4</v>
      </c>
      <c r="W36" s="49" t="s">
        <v>10</v>
      </c>
    </row>
    <row r="37" spans="13:23">
      <c r="M37" s="51">
        <v>14</v>
      </c>
      <c r="N37" s="43">
        <v>7.0000000000000007E-2</v>
      </c>
      <c r="O37" s="47" t="s">
        <v>16</v>
      </c>
      <c r="P37" s="48">
        <f t="shared" si="1"/>
        <v>7.0000000000000007E-5</v>
      </c>
      <c r="Q37" s="49" t="s">
        <v>10</v>
      </c>
      <c r="S37" s="23"/>
      <c r="T37" s="23"/>
      <c r="U37" s="23"/>
      <c r="V37" s="23"/>
      <c r="W37" s="23"/>
    </row>
    <row r="38" spans="13:23">
      <c r="M38" s="51">
        <v>15</v>
      </c>
      <c r="N38" s="43">
        <v>7.0000000000000007E-2</v>
      </c>
      <c r="O38" s="47" t="s">
        <v>16</v>
      </c>
      <c r="P38" s="48">
        <f t="shared" si="1"/>
        <v>7.0000000000000007E-5</v>
      </c>
      <c r="Q38" s="49" t="s">
        <v>10</v>
      </c>
      <c r="S38" s="23"/>
      <c r="T38" s="23"/>
      <c r="U38" s="23"/>
      <c r="V38" s="23"/>
      <c r="W38" s="23"/>
    </row>
    <row r="39" spans="13:23">
      <c r="M39" s="51">
        <v>16</v>
      </c>
      <c r="N39" s="43">
        <v>7.0000000000000007E-2</v>
      </c>
      <c r="O39" s="47" t="s">
        <v>16</v>
      </c>
      <c r="P39" s="48">
        <f t="shared" si="1"/>
        <v>7.0000000000000007E-5</v>
      </c>
      <c r="Q39" s="49" t="s">
        <v>10</v>
      </c>
      <c r="S39" s="23"/>
      <c r="T39" s="23"/>
      <c r="U39" s="23"/>
      <c r="V39" s="23"/>
      <c r="W39" s="23"/>
    </row>
    <row r="40" spans="13:23">
      <c r="M40" s="51">
        <v>17</v>
      </c>
      <c r="N40" s="43">
        <v>7.0000000000000007E-2</v>
      </c>
      <c r="O40" s="47" t="s">
        <v>16</v>
      </c>
      <c r="P40" s="48">
        <f t="shared" si="1"/>
        <v>7.0000000000000007E-5</v>
      </c>
      <c r="Q40" s="49" t="s">
        <v>10</v>
      </c>
      <c r="S40" s="23"/>
      <c r="T40" s="23"/>
      <c r="U40" s="23"/>
      <c r="V40" s="23"/>
      <c r="W40" s="23"/>
    </row>
    <row r="41" spans="13:23">
      <c r="M41" s="51">
        <v>18</v>
      </c>
      <c r="N41" s="43">
        <v>7.0000000000000007E-2</v>
      </c>
      <c r="O41" s="47" t="s">
        <v>16</v>
      </c>
      <c r="P41" s="48">
        <f t="shared" si="1"/>
        <v>7.0000000000000007E-5</v>
      </c>
      <c r="Q41" s="49" t="s">
        <v>10</v>
      </c>
      <c r="S41" s="23"/>
      <c r="T41" s="23"/>
      <c r="U41" s="23"/>
      <c r="V41" s="23"/>
      <c r="W41" s="23"/>
    </row>
    <row r="42" spans="13:23">
      <c r="M42" s="51">
        <v>19</v>
      </c>
      <c r="N42" s="43">
        <v>7.0000000000000007E-2</v>
      </c>
      <c r="O42" s="47" t="s">
        <v>16</v>
      </c>
      <c r="P42" s="48">
        <f t="shared" si="1"/>
        <v>7.0000000000000007E-5</v>
      </c>
      <c r="Q42" s="49" t="s">
        <v>10</v>
      </c>
    </row>
    <row r="43" spans="13:23">
      <c r="M43" s="51">
        <v>20</v>
      </c>
      <c r="N43" s="43">
        <v>7.0000000000000007E-2</v>
      </c>
      <c r="O43" s="47" t="s">
        <v>16</v>
      </c>
      <c r="P43" s="48">
        <f t="shared" si="1"/>
        <v>7.0000000000000007E-5</v>
      </c>
      <c r="Q43" s="49" t="s">
        <v>10</v>
      </c>
    </row>
    <row r="44" spans="13:23">
      <c r="M44" s="51">
        <v>21</v>
      </c>
      <c r="N44" s="43">
        <v>7.0000000000000007E-2</v>
      </c>
      <c r="O44" s="47" t="s">
        <v>16</v>
      </c>
      <c r="P44" s="48">
        <f t="shared" si="1"/>
        <v>7.0000000000000007E-5</v>
      </c>
      <c r="Q44" s="49" t="s">
        <v>10</v>
      </c>
    </row>
    <row r="45" spans="13:23">
      <c r="M45" s="51">
        <v>22</v>
      </c>
      <c r="N45" s="43">
        <v>7.0000000000000007E-2</v>
      </c>
      <c r="O45" s="47" t="s">
        <v>16</v>
      </c>
      <c r="P45" s="48">
        <f t="shared" si="1"/>
        <v>7.0000000000000007E-5</v>
      </c>
      <c r="Q45" s="49" t="s">
        <v>10</v>
      </c>
    </row>
    <row r="46" spans="13:23">
      <c r="M46" s="51">
        <v>23</v>
      </c>
      <c r="N46" s="43">
        <v>7.0000000000000007E-2</v>
      </c>
      <c r="O46" s="47" t="s">
        <v>16</v>
      </c>
      <c r="P46" s="48">
        <f t="shared" si="1"/>
        <v>7.0000000000000007E-5</v>
      </c>
      <c r="Q46" s="49" t="s">
        <v>10</v>
      </c>
    </row>
    <row r="47" spans="13:23">
      <c r="M47" s="51">
        <v>24</v>
      </c>
      <c r="N47" s="43">
        <v>7.0000000000000007E-2</v>
      </c>
      <c r="O47" s="47" t="s">
        <v>16</v>
      </c>
      <c r="P47" s="48">
        <f t="shared" si="1"/>
        <v>7.0000000000000007E-5</v>
      </c>
      <c r="Q47" s="49" t="s">
        <v>10</v>
      </c>
    </row>
    <row r="48" spans="13:23">
      <c r="M48" s="51">
        <v>25</v>
      </c>
      <c r="N48" s="43">
        <v>7.0000000000000007E-2</v>
      </c>
      <c r="O48" s="47" t="s">
        <v>16</v>
      </c>
      <c r="P48" s="48">
        <f t="shared" si="1"/>
        <v>7.0000000000000007E-5</v>
      </c>
      <c r="Q48" s="49" t="s">
        <v>10</v>
      </c>
    </row>
    <row r="49" spans="13:17">
      <c r="M49" s="51">
        <v>50</v>
      </c>
      <c r="N49" s="43">
        <v>0.09</v>
      </c>
      <c r="O49" s="47" t="s">
        <v>16</v>
      </c>
      <c r="P49" s="48">
        <f t="shared" si="1"/>
        <v>8.9999999999999992E-5</v>
      </c>
      <c r="Q49" s="49" t="s">
        <v>10</v>
      </c>
    </row>
    <row r="50" spans="13:17">
      <c r="M50" s="51">
        <v>75</v>
      </c>
      <c r="N50" s="43">
        <v>0.1</v>
      </c>
      <c r="O50" s="47" t="s">
        <v>16</v>
      </c>
      <c r="P50" s="48">
        <f t="shared" si="1"/>
        <v>1E-4</v>
      </c>
      <c r="Q50" s="49" t="s">
        <v>10</v>
      </c>
    </row>
    <row r="51" spans="13:17">
      <c r="M51" s="51">
        <v>100</v>
      </c>
      <c r="N51" s="43">
        <v>0.12</v>
      </c>
      <c r="O51" s="47" t="s">
        <v>16</v>
      </c>
      <c r="P51" s="48">
        <f t="shared" si="1"/>
        <v>1.1999999999999999E-4</v>
      </c>
      <c r="Q51" s="49" t="s">
        <v>10</v>
      </c>
    </row>
    <row r="52" spans="13:17">
      <c r="M52" s="23"/>
      <c r="N52" s="23"/>
      <c r="O52" s="23"/>
      <c r="P52" s="23"/>
      <c r="Q52" s="23"/>
    </row>
    <row r="53" spans="13:17">
      <c r="M53" s="23"/>
      <c r="N53" s="23"/>
      <c r="O53" s="23"/>
      <c r="P53" s="23"/>
      <c r="Q53" s="23"/>
    </row>
    <row r="54" spans="13:17">
      <c r="M54" s="23"/>
      <c r="N54" s="23"/>
      <c r="O54" s="23"/>
      <c r="P54" s="23"/>
      <c r="Q54" s="23"/>
    </row>
    <row r="55" spans="13:17">
      <c r="M55" s="23"/>
      <c r="N55" s="23"/>
      <c r="O55" s="23"/>
      <c r="P55" s="23"/>
      <c r="Q55" s="23"/>
    </row>
    <row r="56" spans="13:17">
      <c r="M56" s="23"/>
      <c r="N56" s="23"/>
      <c r="O56" s="23"/>
      <c r="P56" s="23"/>
      <c r="Q56" s="23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86"/>
  <sheetViews>
    <sheetView workbookViewId="0">
      <selection sqref="A1:N86"/>
    </sheetView>
  </sheetViews>
  <sheetFormatPr defaultColWidth="8.85546875" defaultRowHeight="15"/>
  <cols>
    <col min="1" max="1" width="9.140625" customWidth="1"/>
  </cols>
  <sheetData>
    <row r="1" spans="1:14" ht="15" customHeight="1">
      <c r="A1" s="672" t="s">
        <v>309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</row>
    <row r="2" spans="1:14" ht="15" customHeight="1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  <c r="M2" s="672"/>
      <c r="N2" s="672"/>
    </row>
    <row r="3" spans="1:14" ht="15" customHeight="1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L3" s="672"/>
      <c r="M3" s="672"/>
      <c r="N3" s="672"/>
    </row>
    <row r="4" spans="1:14" ht="15" customHeight="1">
      <c r="A4" s="672"/>
      <c r="B4" s="672"/>
      <c r="C4" s="672"/>
      <c r="D4" s="672"/>
      <c r="E4" s="672"/>
      <c r="F4" s="672"/>
      <c r="G4" s="672"/>
      <c r="H4" s="672"/>
      <c r="I4" s="672"/>
      <c r="J4" s="672"/>
      <c r="K4" s="672"/>
      <c r="L4" s="672"/>
      <c r="M4" s="672"/>
      <c r="N4" s="672"/>
    </row>
    <row r="5" spans="1:14" ht="15" customHeight="1">
      <c r="A5" s="672"/>
      <c r="B5" s="672"/>
      <c r="C5" s="672"/>
      <c r="D5" s="672"/>
      <c r="E5" s="672"/>
      <c r="F5" s="672"/>
      <c r="G5" s="672"/>
      <c r="H5" s="672"/>
      <c r="I5" s="672"/>
      <c r="J5" s="672"/>
      <c r="K5" s="672"/>
      <c r="L5" s="672"/>
      <c r="M5" s="672"/>
      <c r="N5" s="672"/>
    </row>
    <row r="6" spans="1:14" ht="15" customHeight="1">
      <c r="A6" s="672"/>
      <c r="B6" s="672"/>
      <c r="C6" s="672"/>
      <c r="D6" s="672"/>
      <c r="E6" s="672"/>
      <c r="F6" s="672"/>
      <c r="G6" s="672"/>
      <c r="H6" s="672"/>
      <c r="I6" s="672"/>
      <c r="J6" s="672"/>
      <c r="K6" s="672"/>
      <c r="L6" s="672"/>
      <c r="M6" s="672"/>
      <c r="N6" s="672"/>
    </row>
    <row r="7" spans="1:14" ht="15" customHeight="1">
      <c r="A7" s="672"/>
      <c r="B7" s="672"/>
      <c r="C7" s="672"/>
      <c r="D7" s="672"/>
      <c r="E7" s="672"/>
      <c r="F7" s="672"/>
      <c r="G7" s="672"/>
      <c r="H7" s="672"/>
      <c r="I7" s="672"/>
      <c r="J7" s="672"/>
      <c r="K7" s="672"/>
      <c r="L7" s="672"/>
      <c r="M7" s="672"/>
      <c r="N7" s="672"/>
    </row>
    <row r="8" spans="1:14" ht="15" customHeight="1">
      <c r="A8" s="672"/>
      <c r="B8" s="672"/>
      <c r="C8" s="672"/>
      <c r="D8" s="672"/>
      <c r="E8" s="672"/>
      <c r="F8" s="672"/>
      <c r="G8" s="672"/>
      <c r="H8" s="672"/>
      <c r="I8" s="672"/>
      <c r="J8" s="672"/>
      <c r="K8" s="672"/>
      <c r="L8" s="672"/>
      <c r="M8" s="672"/>
      <c r="N8" s="672"/>
    </row>
    <row r="9" spans="1:14" ht="15" customHeight="1">
      <c r="A9" s="672"/>
      <c r="B9" s="672"/>
      <c r="C9" s="672"/>
      <c r="D9" s="672"/>
      <c r="E9" s="672"/>
      <c r="F9" s="672"/>
      <c r="G9" s="672"/>
      <c r="H9" s="672"/>
      <c r="I9" s="672"/>
      <c r="J9" s="672"/>
      <c r="K9" s="672"/>
      <c r="L9" s="672"/>
      <c r="M9" s="672"/>
      <c r="N9" s="672"/>
    </row>
    <row r="10" spans="1:14" ht="15" customHeight="1">
      <c r="A10" s="672"/>
      <c r="B10" s="672"/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672"/>
      <c r="N10" s="672"/>
    </row>
    <row r="11" spans="1:14" ht="15" customHeight="1">
      <c r="A11" s="672"/>
      <c r="B11" s="672"/>
      <c r="C11" s="672"/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</row>
    <row r="12" spans="1:14" ht="15" customHeight="1">
      <c r="A12" s="672"/>
      <c r="B12" s="672"/>
      <c r="C12" s="672"/>
      <c r="D12" s="672"/>
      <c r="E12" s="672"/>
      <c r="F12" s="672"/>
      <c r="G12" s="672"/>
      <c r="H12" s="672"/>
      <c r="I12" s="672"/>
      <c r="J12" s="672"/>
      <c r="K12" s="672"/>
      <c r="L12" s="672"/>
      <c r="M12" s="672"/>
      <c r="N12" s="672"/>
    </row>
    <row r="13" spans="1:14" ht="15" customHeight="1">
      <c r="A13" s="672"/>
      <c r="B13" s="672"/>
      <c r="C13" s="672"/>
      <c r="D13" s="672"/>
      <c r="E13" s="672"/>
      <c r="F13" s="672"/>
      <c r="G13" s="672"/>
      <c r="H13" s="672"/>
      <c r="I13" s="672"/>
      <c r="J13" s="672"/>
      <c r="K13" s="672"/>
      <c r="L13" s="672"/>
      <c r="M13" s="672"/>
      <c r="N13" s="672"/>
    </row>
    <row r="14" spans="1:14">
      <c r="A14" s="672"/>
      <c r="B14" s="672"/>
      <c r="C14" s="672"/>
      <c r="D14" s="672"/>
      <c r="E14" s="672"/>
      <c r="F14" s="672"/>
      <c r="G14" s="672"/>
      <c r="H14" s="672"/>
      <c r="I14" s="672"/>
      <c r="J14" s="672"/>
      <c r="K14" s="672"/>
      <c r="L14" s="672"/>
      <c r="M14" s="672"/>
      <c r="N14" s="672"/>
    </row>
    <row r="15" spans="1:14">
      <c r="A15" s="672"/>
      <c r="B15" s="672"/>
      <c r="C15" s="672"/>
      <c r="D15" s="672"/>
      <c r="E15" s="672"/>
      <c r="F15" s="672"/>
      <c r="G15" s="672"/>
      <c r="H15" s="672"/>
      <c r="I15" s="672"/>
      <c r="J15" s="672"/>
      <c r="K15" s="672"/>
      <c r="L15" s="672"/>
      <c r="M15" s="672"/>
      <c r="N15" s="672"/>
    </row>
    <row r="16" spans="1:14">
      <c r="A16" s="672"/>
      <c r="B16" s="672"/>
      <c r="C16" s="672"/>
      <c r="D16" s="672"/>
      <c r="E16" s="672"/>
      <c r="F16" s="672"/>
      <c r="G16" s="672"/>
      <c r="H16" s="672"/>
      <c r="I16" s="672"/>
      <c r="J16" s="672"/>
      <c r="K16" s="672"/>
      <c r="L16" s="672"/>
      <c r="M16" s="672"/>
      <c r="N16" s="672"/>
    </row>
    <row r="17" spans="1:14">
      <c r="A17" s="672"/>
      <c r="B17" s="672"/>
      <c r="C17" s="672"/>
      <c r="D17" s="672"/>
      <c r="E17" s="672"/>
      <c r="F17" s="672"/>
      <c r="G17" s="672"/>
      <c r="H17" s="672"/>
      <c r="I17" s="672"/>
      <c r="J17" s="672"/>
      <c r="K17" s="672"/>
      <c r="L17" s="672"/>
      <c r="M17" s="672"/>
      <c r="N17" s="672"/>
    </row>
    <row r="18" spans="1:14">
      <c r="A18" s="672"/>
      <c r="B18" s="672"/>
      <c r="C18" s="672"/>
      <c r="D18" s="672"/>
      <c r="E18" s="672"/>
      <c r="F18" s="672"/>
      <c r="G18" s="672"/>
      <c r="H18" s="672"/>
      <c r="I18" s="672"/>
      <c r="J18" s="672"/>
      <c r="K18" s="672"/>
      <c r="L18" s="672"/>
      <c r="M18" s="672"/>
      <c r="N18" s="672"/>
    </row>
    <row r="19" spans="1:14">
      <c r="A19" s="672"/>
      <c r="B19" s="672"/>
      <c r="C19" s="672"/>
      <c r="D19" s="672"/>
      <c r="E19" s="672"/>
      <c r="F19" s="672"/>
      <c r="G19" s="672"/>
      <c r="H19" s="672"/>
      <c r="I19" s="672"/>
      <c r="J19" s="672"/>
      <c r="K19" s="672"/>
      <c r="L19" s="672"/>
      <c r="M19" s="672"/>
      <c r="N19" s="672"/>
    </row>
    <row r="20" spans="1:14">
      <c r="A20" s="672"/>
      <c r="B20" s="672"/>
      <c r="C20" s="672"/>
      <c r="D20" s="672"/>
      <c r="E20" s="672"/>
      <c r="F20" s="672"/>
      <c r="G20" s="672"/>
      <c r="H20" s="672"/>
      <c r="I20" s="672"/>
      <c r="J20" s="672"/>
      <c r="K20" s="672"/>
      <c r="L20" s="672"/>
      <c r="M20" s="672"/>
      <c r="N20" s="672"/>
    </row>
    <row r="21" spans="1:14">
      <c r="A21" s="672"/>
      <c r="B21" s="672"/>
      <c r="C21" s="672"/>
      <c r="D21" s="672"/>
      <c r="E21" s="672"/>
      <c r="F21" s="672"/>
      <c r="G21" s="672"/>
      <c r="H21" s="672"/>
      <c r="I21" s="672"/>
      <c r="J21" s="672"/>
      <c r="K21" s="672"/>
      <c r="L21" s="672"/>
      <c r="M21" s="672"/>
      <c r="N21" s="672"/>
    </row>
    <row r="22" spans="1:14">
      <c r="A22" s="672"/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2"/>
      <c r="N22" s="672"/>
    </row>
    <row r="23" spans="1:14">
      <c r="A23" s="672"/>
      <c r="B23" s="672"/>
      <c r="C23" s="672"/>
      <c r="D23" s="672"/>
      <c r="E23" s="672"/>
      <c r="F23" s="672"/>
      <c r="G23" s="672"/>
      <c r="H23" s="672"/>
      <c r="I23" s="672"/>
      <c r="J23" s="672"/>
      <c r="K23" s="672"/>
      <c r="L23" s="672"/>
      <c r="M23" s="672"/>
      <c r="N23" s="672"/>
    </row>
    <row r="24" spans="1:14">
      <c r="A24" s="672"/>
      <c r="B24" s="672"/>
      <c r="C24" s="672"/>
      <c r="D24" s="672"/>
      <c r="E24" s="672"/>
      <c r="F24" s="672"/>
      <c r="G24" s="672"/>
      <c r="H24" s="672"/>
      <c r="I24" s="672"/>
      <c r="J24" s="672"/>
      <c r="K24" s="672"/>
      <c r="L24" s="672"/>
      <c r="M24" s="672"/>
      <c r="N24" s="672"/>
    </row>
    <row r="25" spans="1:14">
      <c r="A25" s="672"/>
      <c r="B25" s="672"/>
      <c r="C25" s="672"/>
      <c r="D25" s="672"/>
      <c r="E25" s="672"/>
      <c r="F25" s="672"/>
      <c r="G25" s="672"/>
      <c r="H25" s="672"/>
      <c r="I25" s="672"/>
      <c r="J25" s="672"/>
      <c r="K25" s="672"/>
      <c r="L25" s="672"/>
      <c r="M25" s="672"/>
      <c r="N25" s="672"/>
    </row>
    <row r="26" spans="1:14">
      <c r="A26" s="672"/>
      <c r="B26" s="672"/>
      <c r="C26" s="672"/>
      <c r="D26" s="672"/>
      <c r="E26" s="672"/>
      <c r="F26" s="672"/>
      <c r="G26" s="672"/>
      <c r="H26" s="672"/>
      <c r="I26" s="672"/>
      <c r="J26" s="672"/>
      <c r="K26" s="672"/>
      <c r="L26" s="672"/>
      <c r="M26" s="672"/>
      <c r="N26" s="672"/>
    </row>
    <row r="27" spans="1:14">
      <c r="A27" s="672"/>
      <c r="B27" s="672"/>
      <c r="C27" s="672"/>
      <c r="D27" s="672"/>
      <c r="E27" s="672"/>
      <c r="F27" s="672"/>
      <c r="G27" s="672"/>
      <c r="H27" s="672"/>
      <c r="I27" s="672"/>
      <c r="J27" s="672"/>
      <c r="K27" s="672"/>
      <c r="L27" s="672"/>
      <c r="M27" s="672"/>
      <c r="N27" s="672"/>
    </row>
    <row r="28" spans="1:14">
      <c r="A28" s="672"/>
      <c r="B28" s="672"/>
      <c r="C28" s="672"/>
      <c r="D28" s="672"/>
      <c r="E28" s="672"/>
      <c r="F28" s="672"/>
      <c r="G28" s="672"/>
      <c r="H28" s="672"/>
      <c r="I28" s="672"/>
      <c r="J28" s="672"/>
      <c r="K28" s="672"/>
      <c r="L28" s="672"/>
      <c r="M28" s="672"/>
      <c r="N28" s="672"/>
    </row>
    <row r="29" spans="1:14">
      <c r="A29" s="672"/>
      <c r="B29" s="672"/>
      <c r="C29" s="672"/>
      <c r="D29" s="672"/>
      <c r="E29" s="672"/>
      <c r="F29" s="672"/>
      <c r="G29" s="672"/>
      <c r="H29" s="672"/>
      <c r="I29" s="672"/>
      <c r="J29" s="672"/>
      <c r="K29" s="672"/>
      <c r="L29" s="672"/>
      <c r="M29" s="672"/>
      <c r="N29" s="672"/>
    </row>
    <row r="30" spans="1:14">
      <c r="A30" s="672"/>
      <c r="B30" s="672"/>
      <c r="C30" s="672"/>
      <c r="D30" s="672"/>
      <c r="E30" s="672"/>
      <c r="F30" s="672"/>
      <c r="G30" s="672"/>
      <c r="H30" s="672"/>
      <c r="I30" s="672"/>
      <c r="J30" s="672"/>
      <c r="K30" s="672"/>
      <c r="L30" s="672"/>
      <c r="M30" s="672"/>
      <c r="N30" s="672"/>
    </row>
    <row r="31" spans="1:14">
      <c r="A31" s="672"/>
      <c r="B31" s="672"/>
      <c r="C31" s="672"/>
      <c r="D31" s="672"/>
      <c r="E31" s="672"/>
      <c r="F31" s="672"/>
      <c r="G31" s="672"/>
      <c r="H31" s="672"/>
      <c r="I31" s="672"/>
      <c r="J31" s="672"/>
      <c r="K31" s="672"/>
      <c r="L31" s="672"/>
      <c r="M31" s="672"/>
      <c r="N31" s="672"/>
    </row>
    <row r="32" spans="1:14">
      <c r="A32" s="672"/>
      <c r="B32" s="672"/>
      <c r="C32" s="672"/>
      <c r="D32" s="672"/>
      <c r="E32" s="672"/>
      <c r="F32" s="672"/>
      <c r="G32" s="672"/>
      <c r="H32" s="672"/>
      <c r="I32" s="672"/>
      <c r="J32" s="672"/>
      <c r="K32" s="672"/>
      <c r="L32" s="672"/>
      <c r="M32" s="672"/>
      <c r="N32" s="672"/>
    </row>
    <row r="33" spans="1:14">
      <c r="A33" s="672"/>
      <c r="B33" s="672"/>
      <c r="C33" s="672"/>
      <c r="D33" s="672"/>
      <c r="E33" s="672"/>
      <c r="F33" s="672"/>
      <c r="G33" s="672"/>
      <c r="H33" s="672"/>
      <c r="I33" s="672"/>
      <c r="J33" s="672"/>
      <c r="K33" s="672"/>
      <c r="L33" s="672"/>
      <c r="M33" s="672"/>
      <c r="N33" s="672"/>
    </row>
    <row r="34" spans="1:14">
      <c r="A34" s="672"/>
      <c r="B34" s="672"/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672"/>
      <c r="N34" s="672"/>
    </row>
    <row r="35" spans="1:14">
      <c r="A35" s="672"/>
      <c r="B35" s="672"/>
      <c r="C35" s="672"/>
      <c r="D35" s="672"/>
      <c r="E35" s="672"/>
      <c r="F35" s="672"/>
      <c r="G35" s="672"/>
      <c r="H35" s="672"/>
      <c r="I35" s="672"/>
      <c r="J35" s="672"/>
      <c r="K35" s="672"/>
      <c r="L35" s="672"/>
      <c r="M35" s="672"/>
      <c r="N35" s="672"/>
    </row>
    <row r="36" spans="1:14">
      <c r="A36" s="672"/>
      <c r="B36" s="672"/>
      <c r="C36" s="672"/>
      <c r="D36" s="672"/>
      <c r="E36" s="672"/>
      <c r="F36" s="672"/>
      <c r="G36" s="672"/>
      <c r="H36" s="672"/>
      <c r="I36" s="672"/>
      <c r="J36" s="672"/>
      <c r="K36" s="672"/>
      <c r="L36" s="672"/>
      <c r="M36" s="672"/>
      <c r="N36" s="672"/>
    </row>
    <row r="37" spans="1:14">
      <c r="A37" s="672"/>
      <c r="B37" s="672"/>
      <c r="C37" s="672"/>
      <c r="D37" s="672"/>
      <c r="E37" s="672"/>
      <c r="F37" s="672"/>
      <c r="G37" s="672"/>
      <c r="H37" s="672"/>
      <c r="I37" s="672"/>
      <c r="J37" s="672"/>
      <c r="K37" s="672"/>
      <c r="L37" s="672"/>
      <c r="M37" s="672"/>
      <c r="N37" s="672"/>
    </row>
    <row r="38" spans="1:14">
      <c r="A38" s="672"/>
      <c r="B38" s="672"/>
      <c r="C38" s="672"/>
      <c r="D38" s="672"/>
      <c r="E38" s="672"/>
      <c r="F38" s="672"/>
      <c r="G38" s="672"/>
      <c r="H38" s="672"/>
      <c r="I38" s="672"/>
      <c r="J38" s="672"/>
      <c r="K38" s="672"/>
      <c r="L38" s="672"/>
      <c r="M38" s="672"/>
      <c r="N38" s="672"/>
    </row>
    <row r="39" spans="1:14">
      <c r="A39" s="672"/>
      <c r="B39" s="672"/>
      <c r="C39" s="672"/>
      <c r="D39" s="672"/>
      <c r="E39" s="672"/>
      <c r="F39" s="672"/>
      <c r="G39" s="672"/>
      <c r="H39" s="672"/>
      <c r="I39" s="672"/>
      <c r="J39" s="672"/>
      <c r="K39" s="672"/>
      <c r="L39" s="672"/>
      <c r="M39" s="672"/>
      <c r="N39" s="672"/>
    </row>
    <row r="40" spans="1:14">
      <c r="A40" s="672"/>
      <c r="B40" s="672"/>
      <c r="C40" s="672"/>
      <c r="D40" s="672"/>
      <c r="E40" s="672"/>
      <c r="F40" s="672"/>
      <c r="G40" s="672"/>
      <c r="H40" s="672"/>
      <c r="I40" s="672"/>
      <c r="J40" s="672"/>
      <c r="K40" s="672"/>
      <c r="L40" s="672"/>
      <c r="M40" s="672"/>
      <c r="N40" s="672"/>
    </row>
    <row r="41" spans="1:14">
      <c r="A41" s="672"/>
      <c r="B41" s="672"/>
      <c r="C41" s="672"/>
      <c r="D41" s="672"/>
      <c r="E41" s="672"/>
      <c r="F41" s="672"/>
      <c r="G41" s="672"/>
      <c r="H41" s="672"/>
      <c r="I41" s="672"/>
      <c r="J41" s="672"/>
      <c r="K41" s="672"/>
      <c r="L41" s="672"/>
      <c r="M41" s="672"/>
      <c r="N41" s="672"/>
    </row>
    <row r="42" spans="1:14">
      <c r="A42" s="672"/>
      <c r="B42" s="672"/>
      <c r="C42" s="672"/>
      <c r="D42" s="672"/>
      <c r="E42" s="672"/>
      <c r="F42" s="672"/>
      <c r="G42" s="672"/>
      <c r="H42" s="672"/>
      <c r="I42" s="672"/>
      <c r="J42" s="672"/>
      <c r="K42" s="672"/>
      <c r="L42" s="672"/>
      <c r="M42" s="672"/>
      <c r="N42" s="672"/>
    </row>
    <row r="43" spans="1:14">
      <c r="A43" s="672"/>
      <c r="B43" s="672"/>
      <c r="C43" s="672"/>
      <c r="D43" s="672"/>
      <c r="E43" s="672"/>
      <c r="F43" s="672"/>
      <c r="G43" s="672"/>
      <c r="H43" s="672"/>
      <c r="I43" s="672"/>
      <c r="J43" s="672"/>
      <c r="K43" s="672"/>
      <c r="L43" s="672"/>
      <c r="M43" s="672"/>
      <c r="N43" s="672"/>
    </row>
    <row r="44" spans="1:14">
      <c r="A44" s="672"/>
      <c r="B44" s="672"/>
      <c r="C44" s="672"/>
      <c r="D44" s="672"/>
      <c r="E44" s="672"/>
      <c r="F44" s="672"/>
      <c r="G44" s="672"/>
      <c r="H44" s="672"/>
      <c r="I44" s="672"/>
      <c r="J44" s="672"/>
      <c r="K44" s="672"/>
      <c r="L44" s="672"/>
      <c r="M44" s="672"/>
      <c r="N44" s="672"/>
    </row>
    <row r="45" spans="1:14">
      <c r="A45" s="672"/>
      <c r="B45" s="672"/>
      <c r="C45" s="672"/>
      <c r="D45" s="672"/>
      <c r="E45" s="672"/>
      <c r="F45" s="672"/>
      <c r="G45" s="672"/>
      <c r="H45" s="672"/>
      <c r="I45" s="672"/>
      <c r="J45" s="672"/>
      <c r="K45" s="672"/>
      <c r="L45" s="672"/>
      <c r="M45" s="672"/>
      <c r="N45" s="672"/>
    </row>
    <row r="46" spans="1:14">
      <c r="A46" s="672"/>
      <c r="B46" s="672"/>
      <c r="C46" s="672"/>
      <c r="D46" s="672"/>
      <c r="E46" s="672"/>
      <c r="F46" s="672"/>
      <c r="G46" s="672"/>
      <c r="H46" s="672"/>
      <c r="I46" s="672"/>
      <c r="J46" s="672"/>
      <c r="K46" s="672"/>
      <c r="L46" s="672"/>
      <c r="M46" s="672"/>
      <c r="N46" s="672"/>
    </row>
    <row r="47" spans="1:14">
      <c r="A47" s="672"/>
      <c r="B47" s="672"/>
      <c r="C47" s="672"/>
      <c r="D47" s="672"/>
      <c r="E47" s="672"/>
      <c r="F47" s="672"/>
      <c r="G47" s="672"/>
      <c r="H47" s="672"/>
      <c r="I47" s="672"/>
      <c r="J47" s="672"/>
      <c r="K47" s="672"/>
      <c r="L47" s="672"/>
      <c r="M47" s="672"/>
      <c r="N47" s="672"/>
    </row>
    <row r="48" spans="1:14">
      <c r="A48" s="672"/>
      <c r="B48" s="672"/>
      <c r="C48" s="672"/>
      <c r="D48" s="672"/>
      <c r="E48" s="672"/>
      <c r="F48" s="672"/>
      <c r="G48" s="672"/>
      <c r="H48" s="672"/>
      <c r="I48" s="672"/>
      <c r="J48" s="672"/>
      <c r="K48" s="672"/>
      <c r="L48" s="672"/>
      <c r="M48" s="672"/>
      <c r="N48" s="672"/>
    </row>
    <row r="49" spans="1:14">
      <c r="A49" s="672"/>
      <c r="B49" s="672"/>
      <c r="C49" s="672"/>
      <c r="D49" s="672"/>
      <c r="E49" s="672"/>
      <c r="F49" s="672"/>
      <c r="G49" s="672"/>
      <c r="H49" s="672"/>
      <c r="I49" s="672"/>
      <c r="J49" s="672"/>
      <c r="K49" s="672"/>
      <c r="L49" s="672"/>
      <c r="M49" s="672"/>
      <c r="N49" s="672"/>
    </row>
    <row r="50" spans="1:14">
      <c r="A50" s="672"/>
      <c r="B50" s="672"/>
      <c r="C50" s="672"/>
      <c r="D50" s="672"/>
      <c r="E50" s="672"/>
      <c r="F50" s="672"/>
      <c r="G50" s="672"/>
      <c r="H50" s="672"/>
      <c r="I50" s="672"/>
      <c r="J50" s="672"/>
      <c r="K50" s="672"/>
      <c r="L50" s="672"/>
      <c r="M50" s="672"/>
      <c r="N50" s="672"/>
    </row>
    <row r="51" spans="1:14">
      <c r="A51" s="672"/>
      <c r="B51" s="672"/>
      <c r="C51" s="672"/>
      <c r="D51" s="672"/>
      <c r="E51" s="672"/>
      <c r="F51" s="672"/>
      <c r="G51" s="672"/>
      <c r="H51" s="672"/>
      <c r="I51" s="672"/>
      <c r="J51" s="672"/>
      <c r="K51" s="672"/>
      <c r="L51" s="672"/>
      <c r="M51" s="672"/>
      <c r="N51" s="672"/>
    </row>
    <row r="52" spans="1:14">
      <c r="A52" s="672"/>
      <c r="B52" s="672"/>
      <c r="C52" s="672"/>
      <c r="D52" s="672"/>
      <c r="E52" s="672"/>
      <c r="F52" s="672"/>
      <c r="G52" s="672"/>
      <c r="H52" s="672"/>
      <c r="I52" s="672"/>
      <c r="J52" s="672"/>
      <c r="K52" s="672"/>
      <c r="L52" s="672"/>
      <c r="M52" s="672"/>
      <c r="N52" s="672"/>
    </row>
    <row r="53" spans="1:14">
      <c r="A53" s="672"/>
      <c r="B53" s="672"/>
      <c r="C53" s="672"/>
      <c r="D53" s="672"/>
      <c r="E53" s="672"/>
      <c r="F53" s="672"/>
      <c r="G53" s="672"/>
      <c r="H53" s="672"/>
      <c r="I53" s="672"/>
      <c r="J53" s="672"/>
      <c r="K53" s="672"/>
      <c r="L53" s="672"/>
      <c r="M53" s="672"/>
      <c r="N53" s="672"/>
    </row>
    <row r="54" spans="1:14">
      <c r="A54" s="672"/>
      <c r="B54" s="672"/>
      <c r="C54" s="672"/>
      <c r="D54" s="672"/>
      <c r="E54" s="672"/>
      <c r="F54" s="672"/>
      <c r="G54" s="672"/>
      <c r="H54" s="672"/>
      <c r="I54" s="672"/>
      <c r="J54" s="672"/>
      <c r="K54" s="672"/>
      <c r="L54" s="672"/>
      <c r="M54" s="672"/>
      <c r="N54" s="672"/>
    </row>
    <row r="55" spans="1:14">
      <c r="A55" s="672"/>
      <c r="B55" s="672"/>
      <c r="C55" s="672"/>
      <c r="D55" s="672"/>
      <c r="E55" s="672"/>
      <c r="F55" s="672"/>
      <c r="G55" s="672"/>
      <c r="H55" s="672"/>
      <c r="I55" s="672"/>
      <c r="J55" s="672"/>
      <c r="K55" s="672"/>
      <c r="L55" s="672"/>
      <c r="M55" s="672"/>
      <c r="N55" s="672"/>
    </row>
    <row r="56" spans="1:14">
      <c r="A56" s="672"/>
      <c r="B56" s="672"/>
      <c r="C56" s="672"/>
      <c r="D56" s="672"/>
      <c r="E56" s="672"/>
      <c r="F56" s="672"/>
      <c r="G56" s="672"/>
      <c r="H56" s="672"/>
      <c r="I56" s="672"/>
      <c r="J56" s="672"/>
      <c r="K56" s="672"/>
      <c r="L56" s="672"/>
      <c r="M56" s="672"/>
      <c r="N56" s="672"/>
    </row>
    <row r="57" spans="1:14">
      <c r="A57" s="672"/>
      <c r="B57" s="672"/>
      <c r="C57" s="672"/>
      <c r="D57" s="672"/>
      <c r="E57" s="672"/>
      <c r="F57" s="672"/>
      <c r="G57" s="672"/>
      <c r="H57" s="672"/>
      <c r="I57" s="672"/>
      <c r="J57" s="672"/>
      <c r="K57" s="672"/>
      <c r="L57" s="672"/>
      <c r="M57" s="672"/>
      <c r="N57" s="672"/>
    </row>
    <row r="58" spans="1:14">
      <c r="A58" s="672"/>
      <c r="B58" s="672"/>
      <c r="C58" s="672"/>
      <c r="D58" s="672"/>
      <c r="E58" s="672"/>
      <c r="F58" s="672"/>
      <c r="G58" s="672"/>
      <c r="H58" s="672"/>
      <c r="I58" s="672"/>
      <c r="J58" s="672"/>
      <c r="K58" s="672"/>
      <c r="L58" s="672"/>
      <c r="M58" s="672"/>
      <c r="N58" s="672"/>
    </row>
    <row r="59" spans="1:14">
      <c r="A59" s="672"/>
      <c r="B59" s="672"/>
      <c r="C59" s="672"/>
      <c r="D59" s="672"/>
      <c r="E59" s="672"/>
      <c r="F59" s="672"/>
      <c r="G59" s="672"/>
      <c r="H59" s="672"/>
      <c r="I59" s="672"/>
      <c r="J59" s="672"/>
      <c r="K59" s="672"/>
      <c r="L59" s="672"/>
      <c r="M59" s="672"/>
      <c r="N59" s="672"/>
    </row>
    <row r="60" spans="1:14">
      <c r="A60" s="672"/>
      <c r="B60" s="672"/>
      <c r="C60" s="672"/>
      <c r="D60" s="672"/>
      <c r="E60" s="672"/>
      <c r="F60" s="672"/>
      <c r="G60" s="672"/>
      <c r="H60" s="672"/>
      <c r="I60" s="672"/>
      <c r="J60" s="672"/>
      <c r="K60" s="672"/>
      <c r="L60" s="672"/>
      <c r="M60" s="672"/>
      <c r="N60" s="672"/>
    </row>
    <row r="61" spans="1:14">
      <c r="A61" s="672"/>
      <c r="B61" s="672"/>
      <c r="C61" s="672"/>
      <c r="D61" s="672"/>
      <c r="E61" s="672"/>
      <c r="F61" s="672"/>
      <c r="G61" s="672"/>
      <c r="H61" s="672"/>
      <c r="I61" s="672"/>
      <c r="J61" s="672"/>
      <c r="K61" s="672"/>
      <c r="L61" s="672"/>
      <c r="M61" s="672"/>
      <c r="N61" s="672"/>
    </row>
    <row r="62" spans="1:14">
      <c r="A62" s="672"/>
      <c r="B62" s="672"/>
      <c r="C62" s="672"/>
      <c r="D62" s="672"/>
      <c r="E62" s="672"/>
      <c r="F62" s="672"/>
      <c r="G62" s="672"/>
      <c r="H62" s="672"/>
      <c r="I62" s="672"/>
      <c r="J62" s="672"/>
      <c r="K62" s="672"/>
      <c r="L62" s="672"/>
      <c r="M62" s="672"/>
      <c r="N62" s="672"/>
    </row>
    <row r="63" spans="1:14">
      <c r="A63" s="672"/>
      <c r="B63" s="672"/>
      <c r="C63" s="672"/>
      <c r="D63" s="672"/>
      <c r="E63" s="672"/>
      <c r="F63" s="672"/>
      <c r="G63" s="672"/>
      <c r="H63" s="672"/>
      <c r="I63" s="672"/>
      <c r="J63" s="672"/>
      <c r="K63" s="672"/>
      <c r="L63" s="672"/>
      <c r="M63" s="672"/>
      <c r="N63" s="672"/>
    </row>
    <row r="64" spans="1:14">
      <c r="A64" s="672"/>
      <c r="B64" s="672"/>
      <c r="C64" s="672"/>
      <c r="D64" s="672"/>
      <c r="E64" s="672"/>
      <c r="F64" s="672"/>
      <c r="G64" s="672"/>
      <c r="H64" s="672"/>
      <c r="I64" s="672"/>
      <c r="J64" s="672"/>
      <c r="K64" s="672"/>
      <c r="L64" s="672"/>
      <c r="M64" s="672"/>
      <c r="N64" s="672"/>
    </row>
    <row r="65" spans="1:14">
      <c r="A65" s="672"/>
      <c r="B65" s="672"/>
      <c r="C65" s="672"/>
      <c r="D65" s="672"/>
      <c r="E65" s="672"/>
      <c r="F65" s="672"/>
      <c r="G65" s="672"/>
      <c r="H65" s="672"/>
      <c r="I65" s="672"/>
      <c r="J65" s="672"/>
      <c r="K65" s="672"/>
      <c r="L65" s="672"/>
      <c r="M65" s="672"/>
      <c r="N65" s="672"/>
    </row>
    <row r="66" spans="1:14">
      <c r="A66" s="672"/>
      <c r="B66" s="672"/>
      <c r="C66" s="672"/>
      <c r="D66" s="672"/>
      <c r="E66" s="672"/>
      <c r="F66" s="672"/>
      <c r="G66" s="672"/>
      <c r="H66" s="672"/>
      <c r="I66" s="672"/>
      <c r="J66" s="672"/>
      <c r="K66" s="672"/>
      <c r="L66" s="672"/>
      <c r="M66" s="672"/>
      <c r="N66" s="672"/>
    </row>
    <row r="67" spans="1:14">
      <c r="A67" s="672"/>
      <c r="B67" s="672"/>
      <c r="C67" s="672"/>
      <c r="D67" s="672"/>
      <c r="E67" s="672"/>
      <c r="F67" s="672"/>
      <c r="G67" s="672"/>
      <c r="H67" s="672"/>
      <c r="I67" s="672"/>
      <c r="J67" s="672"/>
      <c r="K67" s="672"/>
      <c r="L67" s="672"/>
      <c r="M67" s="672"/>
      <c r="N67" s="672"/>
    </row>
    <row r="68" spans="1:14">
      <c r="A68" s="672"/>
      <c r="B68" s="672"/>
      <c r="C68" s="672"/>
      <c r="D68" s="672"/>
      <c r="E68" s="672"/>
      <c r="F68" s="672"/>
      <c r="G68" s="672"/>
      <c r="H68" s="672"/>
      <c r="I68" s="672"/>
      <c r="J68" s="672"/>
      <c r="K68" s="672"/>
      <c r="L68" s="672"/>
      <c r="M68" s="672"/>
      <c r="N68" s="672"/>
    </row>
    <row r="69" spans="1:14">
      <c r="A69" s="672"/>
      <c r="B69" s="672"/>
      <c r="C69" s="672"/>
      <c r="D69" s="672"/>
      <c r="E69" s="672"/>
      <c r="F69" s="672"/>
      <c r="G69" s="672"/>
      <c r="H69" s="672"/>
      <c r="I69" s="672"/>
      <c r="J69" s="672"/>
      <c r="K69" s="672"/>
      <c r="L69" s="672"/>
      <c r="M69" s="672"/>
      <c r="N69" s="672"/>
    </row>
    <row r="70" spans="1:14">
      <c r="A70" s="672"/>
      <c r="B70" s="672"/>
      <c r="C70" s="672"/>
      <c r="D70" s="672"/>
      <c r="E70" s="672"/>
      <c r="F70" s="672"/>
      <c r="G70" s="672"/>
      <c r="H70" s="672"/>
      <c r="I70" s="672"/>
      <c r="J70" s="672"/>
      <c r="K70" s="672"/>
      <c r="L70" s="672"/>
      <c r="M70" s="672"/>
      <c r="N70" s="672"/>
    </row>
    <row r="71" spans="1:14">
      <c r="A71" s="672"/>
      <c r="B71" s="672"/>
      <c r="C71" s="672"/>
      <c r="D71" s="672"/>
      <c r="E71" s="672"/>
      <c r="F71" s="672"/>
      <c r="G71" s="672"/>
      <c r="H71" s="672"/>
      <c r="I71" s="672"/>
      <c r="J71" s="672"/>
      <c r="K71" s="672"/>
      <c r="L71" s="672"/>
      <c r="M71" s="672"/>
      <c r="N71" s="672"/>
    </row>
    <row r="72" spans="1:14">
      <c r="A72" s="672"/>
      <c r="B72" s="672"/>
      <c r="C72" s="672"/>
      <c r="D72" s="672"/>
      <c r="E72" s="672"/>
      <c r="F72" s="672"/>
      <c r="G72" s="672"/>
      <c r="H72" s="672"/>
      <c r="I72" s="672"/>
      <c r="J72" s="672"/>
      <c r="K72" s="672"/>
      <c r="L72" s="672"/>
      <c r="M72" s="672"/>
      <c r="N72" s="672"/>
    </row>
    <row r="73" spans="1:14">
      <c r="A73" s="672"/>
      <c r="B73" s="672"/>
      <c r="C73" s="672"/>
      <c r="D73" s="672"/>
      <c r="E73" s="672"/>
      <c r="F73" s="672"/>
      <c r="G73" s="672"/>
      <c r="H73" s="672"/>
      <c r="I73" s="672"/>
      <c r="J73" s="672"/>
      <c r="K73" s="672"/>
      <c r="L73" s="672"/>
      <c r="M73" s="672"/>
      <c r="N73" s="672"/>
    </row>
    <row r="74" spans="1:14">
      <c r="A74" s="672"/>
      <c r="B74" s="672"/>
      <c r="C74" s="672"/>
      <c r="D74" s="672"/>
      <c r="E74" s="672"/>
      <c r="F74" s="672"/>
      <c r="G74" s="672"/>
      <c r="H74" s="672"/>
      <c r="I74" s="672"/>
      <c r="J74" s="672"/>
      <c r="K74" s="672"/>
      <c r="L74" s="672"/>
      <c r="M74" s="672"/>
      <c r="N74" s="672"/>
    </row>
    <row r="75" spans="1:14">
      <c r="A75" s="672"/>
      <c r="B75" s="672"/>
      <c r="C75" s="672"/>
      <c r="D75" s="672"/>
      <c r="E75" s="672"/>
      <c r="F75" s="672"/>
      <c r="G75" s="672"/>
      <c r="H75" s="672"/>
      <c r="I75" s="672"/>
      <c r="J75" s="672"/>
      <c r="K75" s="672"/>
      <c r="L75" s="672"/>
      <c r="M75" s="672"/>
      <c r="N75" s="672"/>
    </row>
    <row r="76" spans="1:14">
      <c r="A76" s="672"/>
      <c r="B76" s="672"/>
      <c r="C76" s="672"/>
      <c r="D76" s="672"/>
      <c r="E76" s="672"/>
      <c r="F76" s="672"/>
      <c r="G76" s="672"/>
      <c r="H76" s="672"/>
      <c r="I76" s="672"/>
      <c r="J76" s="672"/>
      <c r="K76" s="672"/>
      <c r="L76" s="672"/>
      <c r="M76" s="672"/>
      <c r="N76" s="672"/>
    </row>
    <row r="77" spans="1:14">
      <c r="A77" s="672"/>
      <c r="B77" s="672"/>
      <c r="C77" s="672"/>
      <c r="D77" s="672"/>
      <c r="E77" s="672"/>
      <c r="F77" s="672"/>
      <c r="G77" s="672"/>
      <c r="H77" s="672"/>
      <c r="I77" s="672"/>
      <c r="J77" s="672"/>
      <c r="K77" s="672"/>
      <c r="L77" s="672"/>
      <c r="M77" s="672"/>
      <c r="N77" s="672"/>
    </row>
    <row r="78" spans="1:14">
      <c r="A78" s="672"/>
      <c r="B78" s="672"/>
      <c r="C78" s="672"/>
      <c r="D78" s="672"/>
      <c r="E78" s="672"/>
      <c r="F78" s="672"/>
      <c r="G78" s="672"/>
      <c r="H78" s="672"/>
      <c r="I78" s="672"/>
      <c r="J78" s="672"/>
      <c r="K78" s="672"/>
      <c r="L78" s="672"/>
      <c r="M78" s="672"/>
      <c r="N78" s="672"/>
    </row>
    <row r="79" spans="1:14">
      <c r="A79" s="672"/>
      <c r="B79" s="672"/>
      <c r="C79" s="672"/>
      <c r="D79" s="672"/>
      <c r="E79" s="672"/>
      <c r="F79" s="672"/>
      <c r="G79" s="672"/>
      <c r="H79" s="672"/>
      <c r="I79" s="672"/>
      <c r="J79" s="672"/>
      <c r="K79" s="672"/>
      <c r="L79" s="672"/>
      <c r="M79" s="672"/>
      <c r="N79" s="672"/>
    </row>
    <row r="80" spans="1:14">
      <c r="A80" s="672"/>
      <c r="B80" s="672"/>
      <c r="C80" s="672"/>
      <c r="D80" s="672"/>
      <c r="E80" s="672"/>
      <c r="F80" s="672"/>
      <c r="G80" s="672"/>
      <c r="H80" s="672"/>
      <c r="I80" s="672"/>
      <c r="J80" s="672"/>
      <c r="K80" s="672"/>
      <c r="L80" s="672"/>
      <c r="M80" s="672"/>
      <c r="N80" s="672"/>
    </row>
    <row r="81" spans="1:14">
      <c r="A81" s="672"/>
      <c r="B81" s="672"/>
      <c r="C81" s="672"/>
      <c r="D81" s="672"/>
      <c r="E81" s="672"/>
      <c r="F81" s="672"/>
      <c r="G81" s="672"/>
      <c r="H81" s="672"/>
      <c r="I81" s="672"/>
      <c r="J81" s="672"/>
      <c r="K81" s="672"/>
      <c r="L81" s="672"/>
      <c r="M81" s="672"/>
      <c r="N81" s="672"/>
    </row>
    <row r="82" spans="1:14">
      <c r="A82" s="672"/>
      <c r="B82" s="672"/>
      <c r="C82" s="672"/>
      <c r="D82" s="672"/>
      <c r="E82" s="672"/>
      <c r="F82" s="672"/>
      <c r="G82" s="672"/>
      <c r="H82" s="672"/>
      <c r="I82" s="672"/>
      <c r="J82" s="672"/>
      <c r="K82" s="672"/>
      <c r="L82" s="672"/>
      <c r="M82" s="672"/>
      <c r="N82" s="672"/>
    </row>
    <row r="83" spans="1:14">
      <c r="A83" s="672"/>
      <c r="B83" s="672"/>
      <c r="C83" s="672"/>
      <c r="D83" s="672"/>
      <c r="E83" s="672"/>
      <c r="F83" s="672"/>
      <c r="G83" s="672"/>
      <c r="H83" s="672"/>
      <c r="I83" s="672"/>
      <c r="J83" s="672"/>
      <c r="K83" s="672"/>
      <c r="L83" s="672"/>
      <c r="M83" s="672"/>
      <c r="N83" s="672"/>
    </row>
    <row r="84" spans="1:14">
      <c r="A84" s="672"/>
      <c r="B84" s="672"/>
      <c r="C84" s="672"/>
      <c r="D84" s="672"/>
      <c r="E84" s="672"/>
      <c r="F84" s="672"/>
      <c r="G84" s="672"/>
      <c r="H84" s="672"/>
      <c r="I84" s="672"/>
      <c r="J84" s="672"/>
      <c r="K84" s="672"/>
      <c r="L84" s="672"/>
      <c r="M84" s="672"/>
      <c r="N84" s="672"/>
    </row>
    <row r="85" spans="1:14">
      <c r="A85" s="672"/>
      <c r="B85" s="672"/>
      <c r="C85" s="672"/>
      <c r="D85" s="672"/>
      <c r="E85" s="672"/>
      <c r="F85" s="672"/>
      <c r="G85" s="672"/>
      <c r="H85" s="672"/>
      <c r="I85" s="672"/>
      <c r="J85" s="672"/>
      <c r="K85" s="672"/>
      <c r="L85" s="672"/>
      <c r="M85" s="672"/>
      <c r="N85" s="672"/>
    </row>
    <row r="86" spans="1:14">
      <c r="A86" s="672"/>
      <c r="B86" s="672"/>
      <c r="C86" s="672"/>
      <c r="D86" s="672"/>
      <c r="E86" s="672"/>
      <c r="F86" s="672"/>
      <c r="G86" s="672"/>
      <c r="H86" s="672"/>
      <c r="I86" s="672"/>
      <c r="J86" s="672"/>
      <c r="K86" s="672"/>
      <c r="L86" s="672"/>
      <c r="M86" s="672"/>
      <c r="N86" s="672"/>
    </row>
  </sheetData>
  <mergeCells count="1">
    <mergeCell ref="A1:N86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R64"/>
  <sheetViews>
    <sheetView workbookViewId="0">
      <selection activeCell="B1" sqref="B1"/>
    </sheetView>
  </sheetViews>
  <sheetFormatPr defaultColWidth="24.7109375" defaultRowHeight="15"/>
  <cols>
    <col min="1" max="1" width="25.85546875" customWidth="1"/>
    <col min="2" max="2" width="8.140625" customWidth="1"/>
    <col min="3" max="3" width="12.7109375" customWidth="1"/>
    <col min="4" max="4" width="5.7109375" bestFit="1" customWidth="1"/>
    <col min="5" max="5" width="10.42578125" customWidth="1"/>
    <col min="7" max="7" width="10.42578125" style="361" customWidth="1"/>
    <col min="8" max="8" width="13.28515625" style="361" customWidth="1"/>
    <col min="9" max="9" width="8.85546875" style="361" customWidth="1"/>
    <col min="10" max="10" width="14.140625" customWidth="1"/>
    <col min="11" max="11" width="11.42578125" customWidth="1"/>
    <col min="12" max="12" width="24.140625" customWidth="1"/>
    <col min="14" max="14" width="5.28515625" bestFit="1" customWidth="1"/>
    <col min="15" max="15" width="11.42578125" bestFit="1" customWidth="1"/>
    <col min="16" max="16" width="13" customWidth="1"/>
    <col min="17" max="17" width="12.42578125" customWidth="1"/>
    <col min="18" max="18" width="20.42578125" customWidth="1"/>
  </cols>
  <sheetData>
    <row r="1" spans="1:18" ht="16.5" thickTop="1" thickBot="1">
      <c r="A1" s="362" t="s">
        <v>157</v>
      </c>
      <c r="B1" s="416"/>
      <c r="C1" s="363"/>
      <c r="D1" s="363"/>
      <c r="E1" s="363"/>
      <c r="F1" s="680" t="s">
        <v>158</v>
      </c>
      <c r="G1" s="681"/>
      <c r="H1" s="682"/>
      <c r="I1" s="682"/>
      <c r="J1" s="682"/>
      <c r="K1" s="683"/>
      <c r="L1" s="363"/>
    </row>
    <row r="2" spans="1:18" ht="16.5" thickTop="1" thickBot="1">
      <c r="A2" s="684"/>
      <c r="B2" s="684"/>
      <c r="C2" s="684"/>
      <c r="D2" s="684"/>
      <c r="E2" s="684"/>
      <c r="F2" s="684"/>
      <c r="G2" s="364"/>
      <c r="H2" s="685"/>
      <c r="I2" s="685"/>
      <c r="J2" s="685"/>
      <c r="K2" s="685"/>
      <c r="L2" s="363"/>
      <c r="N2" s="673" t="s">
        <v>307</v>
      </c>
      <c r="O2" s="674"/>
      <c r="P2" s="674"/>
      <c r="Q2" s="674"/>
      <c r="R2" s="674"/>
    </row>
    <row r="3" spans="1:18" s="369" customFormat="1" ht="40.5" thickTop="1" thickBot="1">
      <c r="A3" s="365" t="s">
        <v>159</v>
      </c>
      <c r="B3" s="366" t="s">
        <v>160</v>
      </c>
      <c r="C3" s="366" t="s">
        <v>161</v>
      </c>
      <c r="D3" s="366" t="s">
        <v>162</v>
      </c>
      <c r="E3" s="367" t="s">
        <v>163</v>
      </c>
      <c r="F3" s="366" t="str">
        <f>CONCATENATE("Estimated Unc in Measurement Units","   
",
"("&amp;B1&amp;")")</f>
        <v>Estimated Unc in Measurement Units   
()</v>
      </c>
      <c r="G3" s="366" t="s">
        <v>164</v>
      </c>
      <c r="H3" s="366" t="s">
        <v>165</v>
      </c>
      <c r="I3" s="366" t="s">
        <v>166</v>
      </c>
      <c r="J3" s="366" t="str">
        <f>CONCATENATE("Std Unc","   
",
"("&amp;B1&amp;")")</f>
        <v>Std Unc   
()</v>
      </c>
      <c r="K3" s="366" t="s">
        <v>167</v>
      </c>
      <c r="L3" s="368" t="s">
        <v>168</v>
      </c>
      <c r="M3" s="427" t="s">
        <v>169</v>
      </c>
      <c r="Q3" s="675" t="s">
        <v>170</v>
      </c>
      <c r="R3" s="676" t="s">
        <v>171</v>
      </c>
    </row>
    <row r="4" spans="1:18" ht="15.75" thickTop="1">
      <c r="A4" s="417"/>
      <c r="B4" s="418"/>
      <c r="C4" s="419"/>
      <c r="D4" s="420"/>
      <c r="E4" s="418"/>
      <c r="F4" s="419"/>
      <c r="G4" s="414"/>
      <c r="H4" s="414"/>
      <c r="I4" s="370" t="str">
        <f>IF(A4="","",IF(F4="","Finish",IF(H4="","",VLOOKUP(H4,O5:P13,2,))))</f>
        <v/>
      </c>
      <c r="J4" s="371" t="str">
        <f>IF(A4="","",IF(F4="","Finish",IF(I4="","",F4/I4)))</f>
        <v/>
      </c>
      <c r="K4" s="372" t="str">
        <f>IF(J4="","",IF(J4="Finish","Finish",J4^2/SUMSQ(J4:J18)))</f>
        <v/>
      </c>
      <c r="L4" s="373"/>
      <c r="M4" s="374" t="str">
        <f t="shared" ref="M4:M12" si="0">IF(J4="","",J4^4/E4)</f>
        <v/>
      </c>
      <c r="N4" s="375" t="s">
        <v>172</v>
      </c>
      <c r="O4" s="375" t="s">
        <v>173</v>
      </c>
      <c r="P4" s="375" t="s">
        <v>166</v>
      </c>
      <c r="Q4" s="675"/>
      <c r="R4" s="677"/>
    </row>
    <row r="5" spans="1:18">
      <c r="A5" s="421"/>
      <c r="B5" s="422"/>
      <c r="C5" s="423"/>
      <c r="D5" s="420"/>
      <c r="E5" s="418"/>
      <c r="F5" s="423"/>
      <c r="G5" s="414"/>
      <c r="H5" s="414"/>
      <c r="I5" s="370" t="str">
        <f>IF(A5="","",IF(F5="","Finish",IF(H5="","",VLOOKUP(H5,O5:P13,2,))))</f>
        <v/>
      </c>
      <c r="J5" s="371" t="str">
        <f t="shared" ref="J5:J13" si="1">IF(A5="","",IF(F5="","Finish",IF(I5="","",F5/I5)))</f>
        <v/>
      </c>
      <c r="K5" s="372" t="str">
        <f>IF(J5="","",IF(J5="Finish","Finish",J5^2/SUMSQ(J4:J18)))</f>
        <v/>
      </c>
      <c r="L5" s="376"/>
      <c r="M5" s="374" t="str">
        <f t="shared" si="0"/>
        <v/>
      </c>
      <c r="N5" s="369" t="s">
        <v>174</v>
      </c>
      <c r="O5" s="377" t="s">
        <v>175</v>
      </c>
      <c r="P5" s="378">
        <v>1</v>
      </c>
      <c r="R5" t="s">
        <v>176</v>
      </c>
    </row>
    <row r="6" spans="1:18">
      <c r="A6" s="421"/>
      <c r="B6" s="422"/>
      <c r="C6" s="423"/>
      <c r="D6" s="420"/>
      <c r="E6" s="418"/>
      <c r="F6" s="423"/>
      <c r="G6" s="414"/>
      <c r="H6" s="414"/>
      <c r="I6" s="370" t="str">
        <f>IF(A6="","",IF(F6="","Finish",IF(H6="","",VLOOKUP(H6,O5:P13,2,))))</f>
        <v/>
      </c>
      <c r="J6" s="371" t="str">
        <f t="shared" si="1"/>
        <v/>
      </c>
      <c r="K6" s="372" t="str">
        <f>IF(J6="","",IF(J6="Finish","Finish",J6^2/SUMSQ(J4:J18)))</f>
        <v/>
      </c>
      <c r="L6" s="376"/>
      <c r="M6" s="374" t="str">
        <f t="shared" si="0"/>
        <v/>
      </c>
      <c r="N6" s="361" t="s">
        <v>177</v>
      </c>
      <c r="O6" s="377" t="s">
        <v>178</v>
      </c>
      <c r="P6" s="378">
        <v>2</v>
      </c>
      <c r="Q6" s="379" t="s">
        <v>179</v>
      </c>
      <c r="R6" s="380" t="s">
        <v>180</v>
      </c>
    </row>
    <row r="7" spans="1:18">
      <c r="A7" s="421"/>
      <c r="B7" s="422"/>
      <c r="C7" s="423"/>
      <c r="D7" s="420"/>
      <c r="E7" s="418"/>
      <c r="F7" s="423"/>
      <c r="G7" s="414"/>
      <c r="H7" s="414"/>
      <c r="I7" s="370" t="str">
        <f>IF(A7="","",IF(F7="","Finish",IF(H7="","",VLOOKUP(H7,O5:P13,2,))))</f>
        <v/>
      </c>
      <c r="J7" s="371" t="str">
        <f t="shared" si="1"/>
        <v/>
      </c>
      <c r="K7" s="372" t="str">
        <f>IF(J7="","",IF(J7="Finish","Finish",J7^2/SUMSQ(J4:J18)))</f>
        <v/>
      </c>
      <c r="L7" s="376"/>
      <c r="M7" s="374" t="str">
        <f t="shared" si="0"/>
        <v/>
      </c>
      <c r="O7" s="377" t="s">
        <v>181</v>
      </c>
      <c r="P7" s="378">
        <v>3</v>
      </c>
      <c r="Q7" s="361" t="s">
        <v>182</v>
      </c>
      <c r="R7" t="s">
        <v>183</v>
      </c>
    </row>
    <row r="8" spans="1:18">
      <c r="A8" s="421"/>
      <c r="B8" s="422"/>
      <c r="C8" s="423"/>
      <c r="D8" s="420"/>
      <c r="E8" s="418"/>
      <c r="F8" s="423"/>
      <c r="G8" s="414"/>
      <c r="H8" s="414"/>
      <c r="I8" s="370" t="str">
        <f>IF(A8="","",IF(F8="","Finish",IF(H8="","",VLOOKUP(H8,O5:P13,2,))))</f>
        <v/>
      </c>
      <c r="J8" s="371" t="str">
        <f t="shared" si="1"/>
        <v/>
      </c>
      <c r="K8" s="372" t="str">
        <f>IF(J8="","",IF(J8="Finish","Finish",J8^2/SUMSQ(J4:J18)))</f>
        <v/>
      </c>
      <c r="L8" s="376"/>
      <c r="M8" s="374" t="str">
        <f t="shared" si="0"/>
        <v/>
      </c>
      <c r="O8" s="377" t="s">
        <v>184</v>
      </c>
      <c r="P8" s="378">
        <v>2.58</v>
      </c>
      <c r="Q8" s="361" t="s">
        <v>185</v>
      </c>
      <c r="R8" t="s">
        <v>186</v>
      </c>
    </row>
    <row r="9" spans="1:18">
      <c r="A9" s="421"/>
      <c r="B9" s="422"/>
      <c r="C9" s="423"/>
      <c r="D9" s="420"/>
      <c r="E9" s="418"/>
      <c r="F9" s="423"/>
      <c r="G9" s="414"/>
      <c r="H9" s="414"/>
      <c r="I9" s="370" t="str">
        <f>IF(A9="","",IF(F9="","Finish",IF(H9="","",VLOOKUP(H9,O5:P13,2,))))</f>
        <v/>
      </c>
      <c r="J9" s="371" t="str">
        <f t="shared" si="1"/>
        <v/>
      </c>
      <c r="K9" s="372" t="str">
        <f>IF(J9="","",IF(J9="Finish","Finish",J9^2/SUMSQ(J4:J18)))</f>
        <v/>
      </c>
      <c r="L9" s="376"/>
      <c r="M9" s="374" t="str">
        <f t="shared" si="0"/>
        <v/>
      </c>
      <c r="O9" s="377" t="s">
        <v>187</v>
      </c>
      <c r="P9" s="378">
        <f>SQRT(3)</f>
        <v>1.7320508075688772</v>
      </c>
      <c r="Q9" s="361" t="s">
        <v>188</v>
      </c>
      <c r="R9" t="s">
        <v>189</v>
      </c>
    </row>
    <row r="10" spans="1:18">
      <c r="A10" s="421"/>
      <c r="B10" s="422"/>
      <c r="C10" s="423"/>
      <c r="D10" s="420"/>
      <c r="E10" s="418"/>
      <c r="F10" s="423"/>
      <c r="G10" s="414"/>
      <c r="H10" s="414"/>
      <c r="I10" s="370" t="str">
        <f>IF(A10="","",IF(F10="","Finish",IF(H10="","",VLOOKUP(H10,O5:P13,2,))))</f>
        <v/>
      </c>
      <c r="J10" s="371" t="str">
        <f t="shared" si="1"/>
        <v/>
      </c>
      <c r="K10" s="372" t="str">
        <f>IF(J10="","",IF(J10="Finish","Finish",J10^2/SUMSQ(J4:J18)))</f>
        <v/>
      </c>
      <c r="L10" s="376"/>
      <c r="M10" s="374" t="str">
        <f t="shared" si="0"/>
        <v/>
      </c>
      <c r="O10" s="377" t="s">
        <v>190</v>
      </c>
      <c r="P10" s="378">
        <f>SQRT(6)</f>
        <v>2.4494897427831779</v>
      </c>
      <c r="Q10" s="361" t="s">
        <v>191</v>
      </c>
      <c r="R10" t="s">
        <v>192</v>
      </c>
    </row>
    <row r="11" spans="1:18">
      <c r="A11" s="421"/>
      <c r="B11" s="422"/>
      <c r="C11" s="423"/>
      <c r="D11" s="420"/>
      <c r="E11" s="418"/>
      <c r="F11" s="423"/>
      <c r="G11" s="414"/>
      <c r="H11" s="414"/>
      <c r="I11" s="370" t="str">
        <f>IF(A11="","",IF(F11="","Finish",IF(H11="","",VLOOKUP(H11,O5:P13,2,))))</f>
        <v/>
      </c>
      <c r="J11" s="371" t="str">
        <f t="shared" si="1"/>
        <v/>
      </c>
      <c r="K11" s="372" t="str">
        <f>IF(J11="","",IF(J11="Finish","Finish",J11^2/SUMSQ(J4:J18)))</f>
        <v/>
      </c>
      <c r="L11" s="376"/>
      <c r="M11" s="374" t="str">
        <f t="shared" si="0"/>
        <v/>
      </c>
      <c r="O11" s="377" t="s">
        <v>193</v>
      </c>
      <c r="P11" s="378">
        <f>SQRT(2)</f>
        <v>1.4142135623730951</v>
      </c>
      <c r="Q11" s="361" t="s">
        <v>194</v>
      </c>
      <c r="R11" t="s">
        <v>195</v>
      </c>
    </row>
    <row r="12" spans="1:18">
      <c r="A12" s="421"/>
      <c r="B12" s="422"/>
      <c r="C12" s="423"/>
      <c r="D12" s="420"/>
      <c r="E12" s="418"/>
      <c r="F12" s="423"/>
      <c r="G12" s="414"/>
      <c r="H12" s="414"/>
      <c r="I12" s="370" t="str">
        <f>IF(A12="","",IF(F12="","Finish",IF(H12="","",VLOOKUP(H12,O5:P13,2,))))</f>
        <v/>
      </c>
      <c r="J12" s="371" t="str">
        <f t="shared" si="1"/>
        <v/>
      </c>
      <c r="K12" s="372" t="str">
        <f>IF(J12="","",IF(J12="Finish","Finish",J12^2/SUMSQ(J4:J18)))</f>
        <v/>
      </c>
      <c r="L12" s="376"/>
      <c r="M12" s="374" t="str">
        <f t="shared" si="0"/>
        <v/>
      </c>
      <c r="O12" s="377" t="s">
        <v>196</v>
      </c>
      <c r="P12" s="378">
        <f>SQRT(12)</f>
        <v>3.4641016151377544</v>
      </c>
      <c r="Q12" s="381" t="s">
        <v>197</v>
      </c>
      <c r="R12" t="s">
        <v>198</v>
      </c>
    </row>
    <row r="13" spans="1:18">
      <c r="A13" s="421"/>
      <c r="B13" s="422"/>
      <c r="C13" s="423"/>
      <c r="D13" s="420"/>
      <c r="E13" s="418"/>
      <c r="F13" s="423"/>
      <c r="G13" s="414"/>
      <c r="H13" s="414"/>
      <c r="I13" s="370" t="str">
        <f>IF(A13="","",IF(F13="","Finish",IF(H13="","",VLOOKUP(H13,O5:P13,2,))))</f>
        <v/>
      </c>
      <c r="J13" s="371" t="str">
        <f t="shared" si="1"/>
        <v/>
      </c>
      <c r="K13" s="372" t="str">
        <f>IF(J13="","",IF(J13="Finish","Finish",J13^2/SUMSQ(J4:J18)))</f>
        <v/>
      </c>
      <c r="L13" s="376"/>
      <c r="M13" s="374" t="str">
        <f>IF(J13="","",J13^4/E13)</f>
        <v/>
      </c>
      <c r="Q13" s="381" t="s">
        <v>199</v>
      </c>
      <c r="R13" t="s">
        <v>200</v>
      </c>
    </row>
    <row r="14" spans="1:18">
      <c r="A14" s="421"/>
      <c r="B14" s="422"/>
      <c r="C14" s="423"/>
      <c r="D14" s="418"/>
      <c r="E14" s="422"/>
      <c r="F14" s="423"/>
      <c r="G14" s="414"/>
      <c r="H14" s="414"/>
      <c r="I14" s="370" t="str">
        <f>IF(A14="","",IF(F14="","Finish",IF(H14="","",VLOOKUP(H14,O5:P13,2,))))</f>
        <v/>
      </c>
      <c r="J14" s="371"/>
      <c r="K14" s="372" t="str">
        <f>IF(J14="","",IF(J14="Finish","Finish",J14^2/SUMSQ(J4:J18)))</f>
        <v/>
      </c>
      <c r="L14" s="376"/>
      <c r="M14" s="374" t="str">
        <f>IF(J14="","",J14^4/E14)</f>
        <v/>
      </c>
      <c r="Q14" s="361" t="s">
        <v>201</v>
      </c>
      <c r="R14" t="s">
        <v>202</v>
      </c>
    </row>
    <row r="15" spans="1:18">
      <c r="A15" s="421"/>
      <c r="B15" s="422"/>
      <c r="C15" s="423"/>
      <c r="D15" s="418"/>
      <c r="E15" s="422"/>
      <c r="F15" s="423"/>
      <c r="G15" s="414"/>
      <c r="H15" s="414"/>
      <c r="I15" s="370" t="str">
        <f>IF(A15="","",IF(F15="","Finish",IF(H15="","",VLOOKUP(H15,O5:P13,2,))))</f>
        <v/>
      </c>
      <c r="J15" s="371"/>
      <c r="K15" s="372" t="str">
        <f>IF(J15="","",IF(J15="Finish","Finish",J15^2/SUMSQ(J4:J18)))</f>
        <v/>
      </c>
      <c r="L15" s="376"/>
      <c r="M15" s="374" t="str">
        <f t="shared" ref="M15:M18" si="2">IF(J15="","",J15^4/E15)</f>
        <v/>
      </c>
      <c r="Q15" s="381" t="s">
        <v>203</v>
      </c>
      <c r="R15" t="s">
        <v>204</v>
      </c>
    </row>
    <row r="16" spans="1:18">
      <c r="A16" s="421"/>
      <c r="B16" s="422"/>
      <c r="C16" s="423"/>
      <c r="D16" s="418"/>
      <c r="E16" s="422"/>
      <c r="F16" s="423"/>
      <c r="G16" s="414"/>
      <c r="H16" s="414"/>
      <c r="I16" s="370" t="str">
        <f>IF(A16="","",IF(F16="","Finish",IF(H16="","",VLOOKUP(H16,O5:P13,2,))))</f>
        <v/>
      </c>
      <c r="J16" s="371"/>
      <c r="K16" s="372" t="str">
        <f>IF(J16="","",IF(J16="Finish","Finish",J16^2/SUMSQ(J4:J18)))</f>
        <v/>
      </c>
      <c r="L16" s="382"/>
      <c r="M16" s="374" t="str">
        <f t="shared" si="2"/>
        <v/>
      </c>
      <c r="Q16" s="381" t="s">
        <v>205</v>
      </c>
      <c r="R16" t="s">
        <v>206</v>
      </c>
    </row>
    <row r="17" spans="1:18">
      <c r="A17" s="421"/>
      <c r="B17" s="422"/>
      <c r="C17" s="423"/>
      <c r="D17" s="418"/>
      <c r="E17" s="422"/>
      <c r="F17" s="423"/>
      <c r="G17" s="414"/>
      <c r="H17" s="414"/>
      <c r="I17" s="370" t="str">
        <f>IF(A17="","",IF(F17="","Finish",IF(H17="","",VLOOKUP(H17,O5:P13,2,))))</f>
        <v/>
      </c>
      <c r="J17" s="371"/>
      <c r="K17" s="372" t="str">
        <f>IF(J17="","",IF(J17="Finish","Finish",J17^2/SUMSQ(J4:J18)))</f>
        <v/>
      </c>
      <c r="L17" s="382"/>
      <c r="M17" s="374" t="str">
        <f t="shared" si="2"/>
        <v/>
      </c>
      <c r="Q17" s="361" t="s">
        <v>207</v>
      </c>
      <c r="R17" t="s">
        <v>208</v>
      </c>
    </row>
    <row r="18" spans="1:18" ht="15.75" thickBot="1">
      <c r="A18" s="424"/>
      <c r="B18" s="425"/>
      <c r="C18" s="426"/>
      <c r="D18" s="425"/>
      <c r="E18" s="425"/>
      <c r="F18" s="426"/>
      <c r="G18" s="415"/>
      <c r="H18" s="415"/>
      <c r="I18" s="383" t="str">
        <f>IF(A18="","",IF(F18="","Finish",IF(H18="","",VLOOKUP(H18,O5:P13,2,))))</f>
        <v/>
      </c>
      <c r="J18" s="384"/>
      <c r="K18" s="385" t="str">
        <f>IF(J18="","",IF(J18="Finish","Finish",J18^2/SUMSQ(J4:J18)))</f>
        <v/>
      </c>
      <c r="L18" s="386"/>
      <c r="M18" s="374" t="str">
        <f t="shared" si="2"/>
        <v/>
      </c>
      <c r="Q18" s="361" t="s">
        <v>209</v>
      </c>
      <c r="R18" t="s">
        <v>210</v>
      </c>
    </row>
    <row r="19" spans="1:18" ht="15.75" thickTop="1">
      <c r="A19" s="686" t="str">
        <f>IF(COUNTA(A4:F18)/6&lt;&gt;COUNTA(A4:A18),"Error: Data Entry is Incomplete!!!","Instructions: Finish selections or assess resulting values.")</f>
        <v>Instructions: Finish selections or assess resulting values.</v>
      </c>
      <c r="B19" s="687"/>
      <c r="C19" s="687"/>
      <c r="D19" s="687"/>
      <c r="E19" s="688"/>
      <c r="F19" s="387"/>
      <c r="G19" s="388"/>
      <c r="H19" s="388"/>
      <c r="I19" s="388"/>
      <c r="J19" s="389"/>
      <c r="K19" s="390" t="str">
        <f>IF(COUNTA(F4:F18)&lt;&gt;COUNTA(H4:H18),"Instructions: Finish selections",IF(SUM(K4:K18)=0,"Instructions: Complete data entry.",SUM(K4:K18)))</f>
        <v>Instructions: Complete data entry.</v>
      </c>
      <c r="L19" s="391"/>
      <c r="M19" s="374" t="str">
        <f>IF(SUM(M4:M18)=0,"",SUM(M4:M18))</f>
        <v/>
      </c>
      <c r="Q19" s="381" t="s">
        <v>211</v>
      </c>
      <c r="R19" t="s">
        <v>212</v>
      </c>
    </row>
    <row r="20" spans="1:18">
      <c r="A20" s="392" t="s">
        <v>213</v>
      </c>
      <c r="B20" s="393" t="s">
        <v>214</v>
      </c>
      <c r="C20" s="394"/>
      <c r="D20" s="394"/>
      <c r="E20" s="395" t="str">
        <f>IF(COUNTA(A4:A18)&lt;&gt;COUNTA(E4:E18),"Entries incomplete.",IF(SUM(E3:E18)=0,"Entries incomplete.",MIN(E3:E18)))</f>
        <v>Entries incomplete.</v>
      </c>
      <c r="F20" s="394"/>
      <c r="G20" s="396"/>
      <c r="H20" s="396"/>
      <c r="I20" s="396"/>
      <c r="J20" s="394"/>
      <c r="K20" s="397"/>
      <c r="L20" s="398"/>
      <c r="M20" s="399"/>
      <c r="Q20" s="381" t="s">
        <v>215</v>
      </c>
      <c r="R20" t="s">
        <v>216</v>
      </c>
    </row>
    <row r="21" spans="1:18">
      <c r="A21" s="392" t="s">
        <v>217</v>
      </c>
      <c r="B21" s="393" t="s">
        <v>218</v>
      </c>
      <c r="C21" s="394"/>
      <c r="D21" s="394"/>
      <c r="E21" s="400" t="str">
        <f>IF(M24="","TBD",M24)</f>
        <v>TBD</v>
      </c>
      <c r="F21" s="394"/>
      <c r="G21" s="396"/>
      <c r="H21" s="396"/>
      <c r="I21" s="396"/>
      <c r="J21" s="394"/>
      <c r="K21" s="394"/>
      <c r="L21" s="398"/>
      <c r="M21" s="401"/>
      <c r="Q21" s="412" t="s">
        <v>55</v>
      </c>
      <c r="R21" s="413" t="s">
        <v>308</v>
      </c>
    </row>
    <row r="22" spans="1:18">
      <c r="A22" s="689" t="s">
        <v>220</v>
      </c>
      <c r="B22" s="690"/>
      <c r="C22" s="690"/>
      <c r="D22" s="690"/>
      <c r="E22" s="690"/>
      <c r="F22" s="690"/>
      <c r="G22" s="690"/>
      <c r="H22" s="690"/>
      <c r="I22" s="691"/>
      <c r="J22" s="402">
        <f>SQRT(SUMSQ(J4:J18))</f>
        <v>0</v>
      </c>
      <c r="K22" s="692" t="str">
        <f>IF(K19="Finish selections.","Instructions: This value is not final.","Instructions: Assess data entry and values before reporting rounded result.")</f>
        <v>Instructions: Assess data entry and values before reporting rounded result.</v>
      </c>
      <c r="L22" s="693"/>
      <c r="M22" s="399" t="str">
        <f>IF(J22^4=0,"",J22^4)</f>
        <v/>
      </c>
      <c r="Q22" s="361" t="s">
        <v>10</v>
      </c>
      <c r="R22" t="s">
        <v>219</v>
      </c>
    </row>
    <row r="23" spans="1:18">
      <c r="A23" s="696" t="s">
        <v>223</v>
      </c>
      <c r="B23" s="697"/>
      <c r="C23" s="697"/>
      <c r="D23" s="697"/>
      <c r="E23" s="697"/>
      <c r="F23" s="697"/>
      <c r="G23" s="697"/>
      <c r="H23" s="697"/>
      <c r="I23" s="697"/>
      <c r="J23" s="402" t="str">
        <f>IF(E20="Entries incomplete.","TBD",IF(E20&gt;0,ROUND(TINV(0.0455,MAX(E20:E21)),2),"TBD"))</f>
        <v>TBD</v>
      </c>
      <c r="K23" s="694"/>
      <c r="L23" s="695"/>
      <c r="M23" s="374"/>
      <c r="Q23" s="361" t="s">
        <v>221</v>
      </c>
      <c r="R23" t="s">
        <v>222</v>
      </c>
    </row>
    <row r="24" spans="1:18">
      <c r="A24" s="696" t="s">
        <v>226</v>
      </c>
      <c r="B24" s="697"/>
      <c r="C24" s="697"/>
      <c r="D24" s="697"/>
      <c r="E24" s="697"/>
      <c r="F24" s="697"/>
      <c r="G24" s="697"/>
      <c r="H24" s="697"/>
      <c r="I24" s="697"/>
      <c r="J24" s="402" t="str">
        <f>IF(J23="TBD","TBD",J22*J23)</f>
        <v>TBD</v>
      </c>
      <c r="K24" s="403"/>
      <c r="L24" s="404"/>
      <c r="M24" s="374" t="str">
        <f>IF(M19="","",(ROUNDDOWN((M22/M19),0)))</f>
        <v/>
      </c>
      <c r="Q24" s="381" t="s">
        <v>224</v>
      </c>
      <c r="R24" t="s">
        <v>225</v>
      </c>
    </row>
    <row r="25" spans="1:18" ht="15.75" thickBot="1">
      <c r="A25" s="678" t="s">
        <v>229</v>
      </c>
      <c r="B25" s="679"/>
      <c r="C25" s="679"/>
      <c r="D25" s="679"/>
      <c r="E25" s="679"/>
      <c r="F25" s="679"/>
      <c r="G25" s="679"/>
      <c r="H25" s="679"/>
      <c r="I25" s="679"/>
      <c r="J25" s="405" t="str">
        <f>IF(J23="TBD","TBD",IF(J24&lt;&gt;0,FIXED(J24,2-1-INT(LOG10(ABS(J24)))),"TBD"))</f>
        <v>TBD</v>
      </c>
      <c r="K25" s="406" t="str">
        <f>IF($B$1="","No units selected.",$B$1)</f>
        <v>No units selected.</v>
      </c>
      <c r="L25" s="407"/>
      <c r="M25" s="408"/>
      <c r="Q25" s="381" t="s">
        <v>227</v>
      </c>
      <c r="R25" t="s">
        <v>228</v>
      </c>
    </row>
    <row r="26" spans="1:18" ht="15.75" thickTop="1">
      <c r="Q26" s="361" t="s">
        <v>230</v>
      </c>
      <c r="R26" t="s">
        <v>231</v>
      </c>
    </row>
    <row r="27" spans="1:18">
      <c r="D27" s="393"/>
      <c r="E27" s="395"/>
      <c r="Q27" s="381" t="s">
        <v>232</v>
      </c>
      <c r="R27" t="s">
        <v>233</v>
      </c>
    </row>
    <row r="28" spans="1:18" ht="18.75">
      <c r="B28" s="181"/>
      <c r="C28" s="181"/>
      <c r="D28" s="181"/>
      <c r="E28" s="409"/>
      <c r="Q28" s="381" t="s">
        <v>234</v>
      </c>
      <c r="R28" t="s">
        <v>235</v>
      </c>
    </row>
    <row r="29" spans="1:18" ht="18.75">
      <c r="B29" s="181"/>
      <c r="C29" s="181"/>
      <c r="D29" s="181"/>
      <c r="I29" s="410"/>
      <c r="Q29" s="361" t="s">
        <v>236</v>
      </c>
      <c r="R29" t="s">
        <v>237</v>
      </c>
    </row>
    <row r="30" spans="1:18" ht="18.75">
      <c r="B30" s="181"/>
      <c r="C30" s="181"/>
      <c r="D30" s="181"/>
      <c r="Q30" s="361" t="s">
        <v>238</v>
      </c>
      <c r="R30" t="s">
        <v>239</v>
      </c>
    </row>
    <row r="31" spans="1:18" ht="18.75">
      <c r="B31" s="181"/>
      <c r="C31" s="428"/>
      <c r="D31" s="181"/>
      <c r="Q31" s="381" t="s">
        <v>240</v>
      </c>
      <c r="R31" t="s">
        <v>241</v>
      </c>
    </row>
    <row r="32" spans="1:18" ht="18.75">
      <c r="B32" s="181"/>
      <c r="C32" s="181"/>
      <c r="D32" s="181"/>
      <c r="Q32" s="381" t="s">
        <v>242</v>
      </c>
      <c r="R32" t="s">
        <v>243</v>
      </c>
    </row>
    <row r="33" spans="2:18" ht="18.75">
      <c r="B33" s="181"/>
      <c r="C33" s="181"/>
      <c r="D33" s="181"/>
      <c r="Q33" s="381" t="s">
        <v>244</v>
      </c>
      <c r="R33" t="s">
        <v>245</v>
      </c>
    </row>
    <row r="34" spans="2:18" ht="18.75">
      <c r="B34" s="181"/>
      <c r="C34" s="181"/>
      <c r="D34" s="181"/>
      <c r="Q34" s="381" t="s">
        <v>246</v>
      </c>
      <c r="R34" t="s">
        <v>247</v>
      </c>
    </row>
    <row r="35" spans="2:18" ht="18.75">
      <c r="B35" s="181"/>
      <c r="C35" s="181"/>
      <c r="D35" s="181"/>
      <c r="Q35" s="381" t="s">
        <v>248</v>
      </c>
      <c r="R35" t="s">
        <v>249</v>
      </c>
    </row>
    <row r="36" spans="2:18" ht="18.75">
      <c r="B36" s="181"/>
      <c r="C36" s="181"/>
      <c r="D36" s="181"/>
      <c r="Q36" s="381" t="s">
        <v>250</v>
      </c>
      <c r="R36" t="s">
        <v>251</v>
      </c>
    </row>
    <row r="37" spans="2:18" ht="18.75">
      <c r="B37" s="181"/>
      <c r="C37" s="181"/>
      <c r="D37" s="181"/>
      <c r="Q37" s="381" t="s">
        <v>252</v>
      </c>
      <c r="R37" t="s">
        <v>253</v>
      </c>
    </row>
    <row r="38" spans="2:18">
      <c r="Q38" s="381" t="s">
        <v>254</v>
      </c>
      <c r="R38" t="s">
        <v>255</v>
      </c>
    </row>
    <row r="39" spans="2:18">
      <c r="Q39" s="381" t="s">
        <v>256</v>
      </c>
      <c r="R39" t="s">
        <v>257</v>
      </c>
    </row>
    <row r="40" spans="2:18">
      <c r="Q40" s="381" t="s">
        <v>174</v>
      </c>
      <c r="R40" t="s">
        <v>258</v>
      </c>
    </row>
    <row r="41" spans="2:18">
      <c r="Q41" s="381" t="s">
        <v>259</v>
      </c>
      <c r="R41" t="s">
        <v>260</v>
      </c>
    </row>
    <row r="42" spans="2:18">
      <c r="Q42" s="381" t="s">
        <v>261</v>
      </c>
      <c r="R42" t="s">
        <v>262</v>
      </c>
    </row>
    <row r="43" spans="2:18">
      <c r="Q43" s="381" t="s">
        <v>263</v>
      </c>
      <c r="R43" t="s">
        <v>264</v>
      </c>
    </row>
    <row r="44" spans="2:18">
      <c r="Q44" s="381" t="s">
        <v>265</v>
      </c>
      <c r="R44" t="s">
        <v>266</v>
      </c>
    </row>
    <row r="45" spans="2:18">
      <c r="Q45" s="381" t="s">
        <v>267</v>
      </c>
      <c r="R45" t="s">
        <v>268</v>
      </c>
    </row>
    <row r="46" spans="2:18">
      <c r="Q46" s="381" t="s">
        <v>269</v>
      </c>
      <c r="R46" t="s">
        <v>270</v>
      </c>
    </row>
    <row r="47" spans="2:18">
      <c r="Q47" s="381" t="s">
        <v>271</v>
      </c>
      <c r="R47" t="s">
        <v>272</v>
      </c>
    </row>
    <row r="48" spans="2:18">
      <c r="Q48" s="381" t="s">
        <v>273</v>
      </c>
      <c r="R48" t="s">
        <v>274</v>
      </c>
    </row>
    <row r="49" spans="17:18" customFormat="1">
      <c r="Q49" s="381" t="s">
        <v>275</v>
      </c>
      <c r="R49" t="s">
        <v>276</v>
      </c>
    </row>
    <row r="50" spans="17:18" customFormat="1">
      <c r="Q50" s="381" t="s">
        <v>277</v>
      </c>
      <c r="R50" t="s">
        <v>278</v>
      </c>
    </row>
    <row r="51" spans="17:18" customFormat="1">
      <c r="Q51" s="381" t="s">
        <v>279</v>
      </c>
      <c r="R51" t="s">
        <v>280</v>
      </c>
    </row>
    <row r="52" spans="17:18" customFormat="1">
      <c r="Q52" s="381" t="s">
        <v>281</v>
      </c>
      <c r="R52" t="s">
        <v>282</v>
      </c>
    </row>
    <row r="53" spans="17:18" customFormat="1">
      <c r="Q53" s="381" t="s">
        <v>283</v>
      </c>
      <c r="R53" t="s">
        <v>284</v>
      </c>
    </row>
    <row r="54" spans="17:18" customFormat="1">
      <c r="Q54" s="381" t="s">
        <v>285</v>
      </c>
      <c r="R54" t="s">
        <v>286</v>
      </c>
    </row>
    <row r="55" spans="17:18" customFormat="1">
      <c r="Q55" s="381" t="s">
        <v>287</v>
      </c>
      <c r="R55" t="s">
        <v>288</v>
      </c>
    </row>
    <row r="56" spans="17:18" customFormat="1">
      <c r="Q56" s="381" t="s">
        <v>289</v>
      </c>
      <c r="R56" t="s">
        <v>290</v>
      </c>
    </row>
    <row r="57" spans="17:18" customFormat="1">
      <c r="Q57" s="381" t="s">
        <v>291</v>
      </c>
      <c r="R57" t="s">
        <v>292</v>
      </c>
    </row>
    <row r="58" spans="17:18" customFormat="1">
      <c r="Q58" s="381" t="s">
        <v>293</v>
      </c>
      <c r="R58" t="s">
        <v>294</v>
      </c>
    </row>
    <row r="59" spans="17:18" customFormat="1">
      <c r="Q59" s="381" t="s">
        <v>295</v>
      </c>
      <c r="R59" s="411" t="s">
        <v>296</v>
      </c>
    </row>
    <row r="60" spans="17:18" customFormat="1">
      <c r="Q60" s="381" t="s">
        <v>297</v>
      </c>
      <c r="R60" s="411" t="s">
        <v>298</v>
      </c>
    </row>
    <row r="61" spans="17:18" customFormat="1">
      <c r="Q61" s="381" t="s">
        <v>299</v>
      </c>
      <c r="R61" t="s">
        <v>300</v>
      </c>
    </row>
    <row r="62" spans="17:18" customFormat="1">
      <c r="Q62" s="381" t="s">
        <v>301</v>
      </c>
      <c r="R62" s="411" t="s">
        <v>302</v>
      </c>
    </row>
    <row r="63" spans="17:18" customFormat="1">
      <c r="Q63" s="381" t="s">
        <v>303</v>
      </c>
      <c r="R63" t="s">
        <v>304</v>
      </c>
    </row>
    <row r="64" spans="17:18">
      <c r="Q64" s="381" t="s">
        <v>305</v>
      </c>
      <c r="R64" s="411" t="s">
        <v>306</v>
      </c>
    </row>
  </sheetData>
  <mergeCells count="13">
    <mergeCell ref="N2:R2"/>
    <mergeCell ref="Q3:Q4"/>
    <mergeCell ref="R3:R4"/>
    <mergeCell ref="A25:I25"/>
    <mergeCell ref="F1:G1"/>
    <mergeCell ref="H1:K1"/>
    <mergeCell ref="A2:F2"/>
    <mergeCell ref="H2:K2"/>
    <mergeCell ref="A19:E19"/>
    <mergeCell ref="A22:I22"/>
    <mergeCell ref="K22:L23"/>
    <mergeCell ref="A23:I23"/>
    <mergeCell ref="A24:I24"/>
  </mergeCells>
  <dataValidations count="6">
    <dataValidation type="list" allowBlank="1" showInputMessage="1" showErrorMessage="1" prompt="Select the probability distribution.  If Type B, rectangular is the default and is often used for digital instrument inputs.  Triangular may be selected for analog readings, including those with a meniscus." sqref="H4">
      <formula1>$O$5:$O$13</formula1>
    </dataValidation>
    <dataValidation allowBlank="1" showInputMessage="1" showErrorMessage="1" prompt="These cells have automatic lookup values based on Probability Distributions. " sqref="I4:I18"/>
    <dataValidation type="list" allowBlank="1" showInputMessage="1" showErrorMessage="1" prompt="Select a probability distribution.  If Type B, you may use rectangular as a default or for digital instrument.  Use Rect 1/2 if you need to divide range by 2. Triangular may be used for analog readings, e.g., a meniscus or dial gauge. " sqref="H5:H18">
      <formula1>$O$5:$O$13</formula1>
    </dataValidation>
    <dataValidation type="list" showInputMessage="1" showErrorMessage="1" prompt="Select A if the estimate is statistically based; else select B." sqref="G4:G18">
      <formula1>$N$5:$N$7</formula1>
    </dataValidation>
    <dataValidation type="list" showInputMessage="1" showErrorMessage="1" prompt="Please select the correct unit." sqref="D14:D18">
      <formula1>$Q$5:$Q$64</formula1>
    </dataValidation>
    <dataValidation type="list" showInputMessage="1" showErrorMessage="1" prompt="Be sure to select the correct units for your measurement result." sqref="B1">
      <formula1>$Q$5:$Q$64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20</vt:i4>
      </vt:variant>
    </vt:vector>
  </HeadingPairs>
  <TitlesOfParts>
    <vt:vector size="28" baseType="lpstr">
      <vt:lpstr>Data</vt:lpstr>
      <vt:lpstr>Certificate</vt:lpstr>
      <vt:lpstr>Report</vt:lpstr>
      <vt:lpstr>Result</vt:lpstr>
      <vt:lpstr>Uncertainty Budget 0 to 25mm</vt:lpstr>
      <vt:lpstr>Uncert of STD</vt:lpstr>
      <vt:lpstr>Configuration</vt:lpstr>
      <vt:lpstr>$$^^$$</vt:lpstr>
      <vt:lpstr>CalibrationDate</vt:lpstr>
      <vt:lpstr>CertificateNo</vt:lpstr>
      <vt:lpstr>CustomerName</vt:lpstr>
      <vt:lpstr>DueDate</vt:lpstr>
      <vt:lpstr>EquipmentID</vt:lpstr>
      <vt:lpstr>EquipmentName</vt:lpstr>
      <vt:lpstr>Humidity</vt:lpstr>
      <vt:lpstr>InspectionDescription</vt:lpstr>
      <vt:lpstr>Manufacturer</vt:lpstr>
      <vt:lpstr>Model</vt:lpstr>
      <vt:lpstr>Certificate!Print_Area</vt:lpstr>
      <vt:lpstr>Data!Print_Area</vt:lpstr>
      <vt:lpstr>Report!Print_Area</vt:lpstr>
      <vt:lpstr>Result!Print_Area</vt:lpstr>
      <vt:lpstr>RangeEnd</vt:lpstr>
      <vt:lpstr>RangeStart</vt:lpstr>
      <vt:lpstr>ReceiveDate</vt:lpstr>
      <vt:lpstr>Resolution</vt:lpstr>
      <vt:lpstr>SerialNo</vt:lpstr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2016-08-09T12:06:13Z</cp:lastPrinted>
  <dcterms:created xsi:type="dcterms:W3CDTF">2015-10-01T03:04:34Z</dcterms:created>
  <dcterms:modified xsi:type="dcterms:W3CDTF">2017-06-04T15:58:07Z</dcterms:modified>
</cp:coreProperties>
</file>