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Data!$E$45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Data!$AB$25</definedName>
    <definedName name="eror1">Data!$AB$26</definedName>
    <definedName name="eror10">Data!$AB$35</definedName>
    <definedName name="eror2">Data!$AB$27</definedName>
    <definedName name="eror3">Data!$AB$28</definedName>
    <definedName name="eror4">Data!$AB$29</definedName>
    <definedName name="eror5">Data!$AB$30</definedName>
    <definedName name="eror6">Data!$AB$31</definedName>
    <definedName name="eror7">Data!$AB$32</definedName>
    <definedName name="eror8">Data!$AB$33</definedName>
    <definedName name="eror9">Data!$AB$34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Data!$A$1:$AE$49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Data!$A$25</definedName>
    <definedName name="setm1">Data!$A$26</definedName>
    <definedName name="setm10">Data!$A$35</definedName>
    <definedName name="setm2">Data!$A$27</definedName>
    <definedName name="setm3">Data!$A$28</definedName>
    <definedName name="setm4">Data!$A$29</definedName>
    <definedName name="setm5">Data!$A$30</definedName>
    <definedName name="setm6">Data!$A$31</definedName>
    <definedName name="setm7">Data!$A$32</definedName>
    <definedName name="setm8">Data!$A$33</definedName>
    <definedName name="setm9">Data!$A$34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Data!$X$19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Data!$T$25</definedName>
    <definedName name="uucav1">Data!$T$26</definedName>
    <definedName name="uucav10">Data!$T$35</definedName>
    <definedName name="uucav2">Data!$T$27</definedName>
    <definedName name="uucav3">Data!$T$28</definedName>
    <definedName name="uucav4">Data!$T$29</definedName>
    <definedName name="uucav5">Data!$T$30</definedName>
    <definedName name="uucav6">Data!$T$31</definedName>
    <definedName name="uucav7">Data!$T$32</definedName>
    <definedName name="uucav8">Data!$T$33</definedName>
    <definedName name="uucav9">Data!$T$34</definedName>
    <definedName name="uucrep0">Data!$X$25</definedName>
    <definedName name="uucrep1">Data!$X$26</definedName>
    <definedName name="uucrep10">Data!$X$35</definedName>
    <definedName name="uucrep2">Data!$X$27</definedName>
    <definedName name="uucrep3">Data!$X$28</definedName>
    <definedName name="uucrep4">Data!$X$29</definedName>
    <definedName name="uucrep5">Data!$X$30</definedName>
    <definedName name="uucrep6">Data!$X$31</definedName>
    <definedName name="uucrep7">Data!$X$32</definedName>
    <definedName name="uucrep8">Data!$X$33</definedName>
    <definedName name="uucrep9">Data!$X$34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H8" i="14" l="1"/>
  <c r="H9" i="14"/>
  <c r="H10" i="14"/>
  <c r="H11" i="14"/>
  <c r="H12" i="14"/>
  <c r="H13" i="14"/>
  <c r="H14" i="14"/>
  <c r="H15" i="14"/>
  <c r="H16" i="14"/>
  <c r="H7" i="14"/>
  <c r="C20" i="14"/>
  <c r="C22" i="14"/>
  <c r="C19" i="14"/>
  <c r="C18" i="14"/>
  <c r="C21" i="14"/>
  <c r="N8" i="14"/>
  <c r="N9" i="14"/>
  <c r="N10" i="14"/>
  <c r="N11" i="14"/>
  <c r="N12" i="14"/>
  <c r="N13" i="14"/>
  <c r="N14" i="14"/>
  <c r="N15" i="14"/>
  <c r="N16" i="14"/>
  <c r="N7" i="14"/>
  <c r="P16" i="14"/>
  <c r="Q16" i="14" s="1"/>
  <c r="O16" i="14"/>
  <c r="P15" i="14"/>
  <c r="Q15" i="14" s="1"/>
  <c r="O15" i="14"/>
  <c r="P14" i="14"/>
  <c r="Q14" i="14" s="1"/>
  <c r="O14" i="14"/>
  <c r="P13" i="14"/>
  <c r="Q13" i="14" s="1"/>
  <c r="O13" i="14"/>
  <c r="P12" i="14"/>
  <c r="Q12" i="14" s="1"/>
  <c r="O12" i="14"/>
  <c r="P11" i="14"/>
  <c r="Q11" i="14" s="1"/>
  <c r="O11" i="14"/>
  <c r="P10" i="14"/>
  <c r="Q10" i="14" s="1"/>
  <c r="O10" i="14"/>
  <c r="P9" i="14"/>
  <c r="Q9" i="14" s="1"/>
  <c r="O9" i="14"/>
  <c r="P8" i="14"/>
  <c r="Q8" i="14" s="1"/>
  <c r="O8" i="14"/>
  <c r="P7" i="14"/>
  <c r="Q7" i="14" s="1"/>
  <c r="O7" i="14"/>
  <c r="J8" i="13" l="1"/>
  <c r="T25" i="9" l="1"/>
  <c r="J16" i="12" s="1"/>
  <c r="A18" i="9"/>
  <c r="L23" i="15"/>
  <c r="H22" i="15"/>
  <c r="D22" i="15"/>
  <c r="H21" i="15"/>
  <c r="J18" i="15"/>
  <c r="J33" i="15"/>
  <c r="X25" i="9"/>
  <c r="D8" i="15" s="1"/>
  <c r="K22" i="15" l="1"/>
  <c r="J7" i="13"/>
  <c r="T26" i="9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8" i="9"/>
  <c r="H36" i="13" s="1"/>
  <c r="E45" i="9"/>
  <c r="I34" i="12" s="1"/>
  <c r="A39" i="9"/>
  <c r="X35" i="9"/>
  <c r="L16" i="14" s="1"/>
  <c r="M16" i="14" s="1"/>
  <c r="T35" i="9"/>
  <c r="J26" i="12" s="1"/>
  <c r="A35" i="9"/>
  <c r="X34" i="9"/>
  <c r="L15" i="14" s="1"/>
  <c r="M15" i="14" s="1"/>
  <c r="T34" i="9"/>
  <c r="J25" i="12" s="1"/>
  <c r="A34" i="9"/>
  <c r="B15" i="14" s="1"/>
  <c r="I15" i="14" s="1"/>
  <c r="X33" i="9"/>
  <c r="L14" i="14" s="1"/>
  <c r="M14" i="14" s="1"/>
  <c r="T33" i="9"/>
  <c r="J24" i="12" s="1"/>
  <c r="A33" i="9"/>
  <c r="X32" i="9"/>
  <c r="L13" i="14" s="1"/>
  <c r="M13" i="14" s="1"/>
  <c r="T32" i="9"/>
  <c r="J23" i="12" s="1"/>
  <c r="A32" i="9"/>
  <c r="B13" i="14" s="1"/>
  <c r="I13" i="14" s="1"/>
  <c r="X31" i="9"/>
  <c r="L12" i="14" s="1"/>
  <c r="M12" i="14" s="1"/>
  <c r="T31" i="9"/>
  <c r="J22" i="12" s="1"/>
  <c r="A31" i="9"/>
  <c r="X30" i="9"/>
  <c r="T30" i="9"/>
  <c r="J21" i="12" s="1"/>
  <c r="A30" i="9"/>
  <c r="B11" i="14" s="1"/>
  <c r="I11" i="14" s="1"/>
  <c r="X29" i="9"/>
  <c r="T29" i="9"/>
  <c r="J20" i="12" s="1"/>
  <c r="A29" i="9"/>
  <c r="X28" i="9"/>
  <c r="T28" i="9"/>
  <c r="J19" i="12" s="1"/>
  <c r="A28" i="9"/>
  <c r="B9" i="14" s="1"/>
  <c r="I9" i="14" s="1"/>
  <c r="X27" i="9"/>
  <c r="T27" i="9"/>
  <c r="J18" i="12" s="1"/>
  <c r="A27" i="9"/>
  <c r="X26" i="9"/>
  <c r="D23" i="15" s="1"/>
  <c r="K23" i="15" s="1"/>
  <c r="A26" i="9"/>
  <c r="A24" i="9"/>
  <c r="X19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5" i="9"/>
  <c r="F10" i="12"/>
  <c r="D156" i="15"/>
  <c r="K156" i="15" s="1"/>
  <c r="F26" i="12"/>
  <c r="F153" i="15"/>
  <c r="B8" i="14"/>
  <c r="I8" i="14" s="1"/>
  <c r="B10" i="14"/>
  <c r="I10" i="14" s="1"/>
  <c r="B12" i="14"/>
  <c r="I12" i="14" s="1"/>
  <c r="B14" i="14"/>
  <c r="I14" i="14" s="1"/>
  <c r="B16" i="14"/>
  <c r="I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K34" i="12"/>
  <c r="J8" i="14"/>
  <c r="K30" i="12"/>
  <c r="K31" i="12"/>
  <c r="K32" i="12"/>
  <c r="L7" i="14"/>
  <c r="M7" i="14" s="1"/>
  <c r="D143" i="15"/>
  <c r="K143" i="15" s="1"/>
  <c r="D113" i="15"/>
  <c r="K113" i="15" s="1"/>
  <c r="K120" i="15" s="1"/>
  <c r="D83" i="15"/>
  <c r="K83" i="15" s="1"/>
  <c r="K90" i="15" s="1"/>
  <c r="D68" i="15"/>
  <c r="K68" i="15" s="1"/>
  <c r="D38" i="15"/>
  <c r="K38" i="15" s="1"/>
  <c r="D158" i="15"/>
  <c r="K158" i="15" s="1"/>
  <c r="K165" i="15" s="1"/>
  <c r="D128" i="15"/>
  <c r="K128" i="15" s="1"/>
  <c r="D98" i="15"/>
  <c r="K98" i="15" s="1"/>
  <c r="D53" i="15"/>
  <c r="K53" i="15" s="1"/>
  <c r="K8" i="15"/>
  <c r="U16" i="14"/>
  <c r="AB35" i="9"/>
  <c r="N26" i="12" s="1"/>
  <c r="U15" i="14"/>
  <c r="AB34" i="9"/>
  <c r="N25" i="12" s="1"/>
  <c r="U14" i="14"/>
  <c r="AB33" i="9"/>
  <c r="N24" i="12" s="1"/>
  <c r="U13" i="14"/>
  <c r="AB32" i="9"/>
  <c r="N23" i="12" s="1"/>
  <c r="U12" i="14"/>
  <c r="AB30" i="9"/>
  <c r="N21" i="12" s="1"/>
  <c r="AB31" i="9"/>
  <c r="N22" i="12" s="1"/>
  <c r="L11" i="14"/>
  <c r="M11" i="14" s="1"/>
  <c r="AB29" i="9"/>
  <c r="N20" i="12" s="1"/>
  <c r="L10" i="14"/>
  <c r="M10" i="14" s="1"/>
  <c r="AB28" i="9"/>
  <c r="N19" i="12" s="1"/>
  <c r="L9" i="14"/>
  <c r="M9" i="14" s="1"/>
  <c r="AB27" i="9"/>
  <c r="N18" i="12" s="1"/>
  <c r="L8" i="14"/>
  <c r="M8" i="14" s="1"/>
  <c r="U7" i="14"/>
  <c r="T7" i="14"/>
  <c r="AB26" i="9"/>
  <c r="N17" i="12" s="1"/>
  <c r="K75" i="15" l="1"/>
  <c r="K105" i="15"/>
  <c r="K107" i="15" s="1"/>
  <c r="K135" i="15"/>
  <c r="K137" i="15" s="1"/>
  <c r="K60" i="15"/>
  <c r="K62" i="15" s="1"/>
  <c r="K45" i="15"/>
  <c r="D6" i="15"/>
  <c r="K6" i="15" s="1"/>
  <c r="K15" i="15" s="1"/>
  <c r="K17" i="15" s="1"/>
  <c r="F16" i="12"/>
  <c r="F3" i="15"/>
  <c r="AB25" i="9"/>
  <c r="N16" i="12" s="1"/>
  <c r="K150" i="15"/>
  <c r="K152" i="15" s="1"/>
  <c r="H32" i="15"/>
  <c r="L30" i="15"/>
  <c r="G32" i="15"/>
  <c r="F32" i="15"/>
  <c r="I32" i="15"/>
  <c r="L31" i="15"/>
  <c r="K8" i="14"/>
  <c r="T8" i="14" s="1"/>
  <c r="J9" i="14"/>
  <c r="K47" i="15"/>
  <c r="K92" i="15"/>
  <c r="K167" i="15"/>
  <c r="K77" i="15"/>
  <c r="K122" i="15"/>
  <c r="U11" i="14"/>
  <c r="U10" i="14"/>
  <c r="U9" i="14"/>
  <c r="U8" i="14"/>
  <c r="V7" i="14"/>
  <c r="W7" i="14" s="1"/>
  <c r="X7" i="14" s="1"/>
  <c r="G31" i="15" l="1"/>
  <c r="F30" i="15" s="1"/>
  <c r="K9" i="14"/>
  <c r="T9" i="14" s="1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V9" i="14"/>
  <c r="W9" i="14" s="1"/>
  <c r="X9" i="14" s="1"/>
  <c r="V8" i="14"/>
  <c r="W8" i="14" s="1"/>
  <c r="X8" i="14" s="1"/>
  <c r="G76" i="15" l="1"/>
  <c r="F75" i="15" s="1"/>
  <c r="K31" i="15"/>
  <c r="G136" i="15"/>
  <c r="K136" i="15" s="1"/>
  <c r="G91" i="15"/>
  <c r="F90" i="15" s="1"/>
  <c r="G106" i="15"/>
  <c r="K106" i="15" s="1"/>
  <c r="G166" i="15"/>
  <c r="K166" i="15" s="1"/>
  <c r="G61" i="15"/>
  <c r="K61" i="15" s="1"/>
  <c r="G46" i="15"/>
  <c r="F45" i="15" s="1"/>
  <c r="G151" i="15"/>
  <c r="K151" i="15" s="1"/>
  <c r="G16" i="15"/>
  <c r="AJ19" i="12" s="1"/>
  <c r="G121" i="15"/>
  <c r="F120" i="15" s="1"/>
  <c r="K10" i="14"/>
  <c r="T10" i="14" s="1"/>
  <c r="V10" i="14" s="1"/>
  <c r="W10" i="14" s="1"/>
  <c r="X10" i="14" s="1"/>
  <c r="J11" i="14"/>
  <c r="F135" i="15"/>
  <c r="F150" i="15"/>
  <c r="AJ20" i="12"/>
  <c r="K16" i="15"/>
  <c r="Z16" i="12" s="1"/>
  <c r="R16" i="12" s="1"/>
  <c r="K121" i="15"/>
  <c r="AJ17" i="12" l="1"/>
  <c r="AJ18" i="12"/>
  <c r="AJ24" i="12"/>
  <c r="AJ21" i="12"/>
  <c r="F165" i="15"/>
  <c r="F15" i="15"/>
  <c r="AJ26" i="12"/>
  <c r="AJ25" i="12"/>
  <c r="AJ23" i="12"/>
  <c r="AJ22" i="12"/>
  <c r="F105" i="15"/>
  <c r="K76" i="15"/>
  <c r="Z20" i="12" s="1"/>
  <c r="R20" i="12" s="1"/>
  <c r="F60" i="15"/>
  <c r="K46" i="15"/>
  <c r="Z23" i="12" s="1"/>
  <c r="R23" i="12" s="1"/>
  <c r="K91" i="15"/>
  <c r="Z26" i="12" s="1"/>
  <c r="R26" i="12" s="1"/>
  <c r="K11" i="14"/>
  <c r="T11" i="14" s="1"/>
  <c r="V11" i="14" s="1"/>
  <c r="W11" i="14" s="1"/>
  <c r="X11" i="14" s="1"/>
  <c r="J12" i="14"/>
  <c r="Z17" i="12"/>
  <c r="R17" i="12" s="1"/>
  <c r="Z22" i="12"/>
  <c r="R22" i="12" s="1"/>
  <c r="Z19" i="12"/>
  <c r="R19" i="12" s="1"/>
  <c r="Z24" i="12"/>
  <c r="R24" i="12" s="1"/>
  <c r="Z21" i="12"/>
  <c r="R21" i="12" s="1"/>
  <c r="Z25" i="12" l="1"/>
  <c r="R25" i="12" s="1"/>
  <c r="Z18" i="12"/>
  <c r="R18" i="12" s="1"/>
  <c r="K12" i="14"/>
  <c r="T12" i="14" s="1"/>
  <c r="V12" i="14" s="1"/>
  <c r="W12" i="14" s="1"/>
  <c r="X12" i="14" s="1"/>
  <c r="J13" i="14"/>
  <c r="K13" i="14" l="1"/>
  <c r="T13" i="14" s="1"/>
  <c r="V13" i="14" s="1"/>
  <c r="W13" i="14" s="1"/>
  <c r="X13" i="14" s="1"/>
  <c r="J14" i="14"/>
  <c r="K14" i="14" l="1"/>
  <c r="T14" i="14" s="1"/>
  <c r="V14" i="14" s="1"/>
  <c r="W14" i="14" s="1"/>
  <c r="X14" i="14" s="1"/>
  <c r="J15" i="14"/>
  <c r="K15" i="14" l="1"/>
  <c r="T15" i="14" s="1"/>
  <c r="V15" i="14" s="1"/>
  <c r="W15" i="14" s="1"/>
  <c r="X15" i="14" s="1"/>
  <c r="J16" i="14"/>
  <c r="K16" i="14" s="1"/>
  <c r="T16" i="14" s="1"/>
  <c r="V16" i="14" s="1"/>
  <c r="W16" i="14" s="1"/>
  <c r="X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<sst xmlns="http://schemas.openxmlformats.org/spreadsheetml/2006/main" count="801" uniqueCount="208">
  <si>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</si>
  <si>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</si>
  <si>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</si>
  <si>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</si>
  <si>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</si>
  <si>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</si>
  <si>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</si>
  <si>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</si>
  <si>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</si>
  <si>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</si>
  <si>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</si>
  <si>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</si>
  <si>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</si>
  <si>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</si>
  <si>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</si>
  <si>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</si>
  <si>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</si>
  <si>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</si>
  <si>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</si>
  <si>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</si>
  <si>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</si>
  <si>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</si>
  <si>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</si>
  <si>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</si>
  <si>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</si>
  <si>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</si>
  <si>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</si>
  <si>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</si>
  <si>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</si>
  <si>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</si>
  <si>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</si>
  <si>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</si>
  <si>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</si>
  <si>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</si>
  <si>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</si>
  <si>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</si>
  <si>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</si>
  <si>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</si>
  <si>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</si>
  <si>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</si>
  <si>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</si>
  <si>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</si>
  <si>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</si>
  <si>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</si>
  <si>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</si>
  <si>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</si>
  <si>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Referance Standard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</si>
  <si>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</si>
  <si>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</si>
  <si>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</si>
  <si>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</si>
  <si>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</si>
  <si>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</si>
  <si>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</si>
  <si>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</si>
  <si>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</si>
  <si>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</si>
  <si>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</si>
  <si>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</si>
  <si>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</si>
  <si>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</si>
  <si>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</si>
  <si>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</si>
  <si>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</si>
  <si>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</si>
  <si>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</si>
  <si>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</si>
  <si>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</si>
  <si>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</si>
  <si>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</si>
  <si>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</si>
  <si>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</si>
  <si>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</si>
  <si>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</si>
  <si>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</si>
  <si>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</si>
  <si>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</si>
  <si>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</si>
  <si>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</si>
  <si>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</si>
  <si>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</si>
  <si>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</si>
  <si>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</si>
  <si>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</si>
  <si>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</si>
  <si>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</si>
  <si>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</si>
  <si>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</si>
  <si>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</si>
  <si>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</si>
  <si>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</si>
  <si>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</si>
  <si>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</si>
  <si>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</si>
  <si>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</si>
  <si>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</si>
  <si>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</si>
  <si>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</si>
  <si>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</si>
  <si>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</si>
  <si>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</si>
  <si>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</si>
  <si>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</si>
  <si>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</si>
  <si>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</si>
  <si>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</si>
  <si>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</si>
  <si>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</si>
  <si>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</si>
  <si>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</si>
  <si>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</si>
  <si>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</si>
  <si>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</si>
  <si>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</si>
  <si>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</si>
  <si>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</si>
  <si>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</si>
  <si>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</si>
  <si>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</si>
  <si>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</si>
  <si>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</si>
  <si>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</si>
  <si>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</si>
  <si>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</si>
  <si>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</si>
  <si>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</si>
  <si>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</si>
  <si>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</si>
  <si>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</si>
  <si>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</si>
  <si>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</si>
  <si>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</si>
  <si>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</si>
  <si>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</si>
  <si>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</si>
  <si>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</si>
  <si>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</si>
  <si>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</si>
  <si>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</si>
  <si>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</si>
  <si>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</si>
  <si>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</si>
  <si>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</si>
  <si>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</si>
  <si>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</si>
  <si>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</si>
  <si>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</si>
  <si>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</si>
  <si>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</si>
  <si>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</si>
  <si>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</si>
  <si>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</si>
  <si>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</si>
  <si>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</si>
  <si>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</si>
  <si>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</si>
  <si>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</si>
  <si>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</si>
  <si>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t>¥</t>
  </si>
  <si>
    <t>Rectangular</t>
  </si>
  <si>
    <t>Resolution of UUC</t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</si>
  <si>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</si>
  <si>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</si>
  <si>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</si>
  <si>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</si>
  <si>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</si>
  <si>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</si>
  <si>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</si>
  <si>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</si>
  <si>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t>Uncertainty 
( ± ) mg</t>
  </si>
  <si>
    <t>ABC Ltd.</t>
  </si>
  <si>
    <t>AA</t>
  </si>
  <si>
    <t>AB</t>
  </si>
  <si>
    <t>SPR17xxxx</t>
  </si>
  <si>
    <t>0 - 1000 g</t>
  </si>
  <si>
    <t>SP-SM-026</t>
  </si>
  <si>
    <t>Standard Weight Set</t>
  </si>
  <si>
    <t>Class F1</t>
  </si>
  <si>
    <t>SS6K3324-16</t>
  </si>
  <si>
    <t>CM160770</t>
  </si>
  <si>
    <t>22 Nov 2017</t>
  </si>
  <si>
    <t>Adress</t>
  </si>
  <si>
    <t>Calibration Procedure No.: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</si>
  <si>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</si>
  <si>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</si>
  <si>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</si>
  <si>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</si>
  <si>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</si>
  <si>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</si>
  <si>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</si>
  <si>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Calibration Officer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</si>
  <si>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</si>
  <si>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</si>
  <si>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</si>
  <si>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r>
      <t>± 1 ppm 10</t>
    </r>
    <r>
      <rPr>
        <vertAlign val="superscript"/>
        <sz val="9"/>
        <rFont val="Arial"/>
        <family val="2"/>
      </rPr>
      <t>6</t>
    </r>
  </si>
  <si>
    <r>
      <t>U</t>
    </r>
    <r>
      <rPr>
        <vertAlign val="subscript"/>
        <sz val="9"/>
        <rFont val="Arial"/>
        <family val="2"/>
      </rPr>
      <t>i</t>
    </r>
  </si>
  <si>
    <r>
      <t>U</t>
    </r>
    <r>
      <rPr>
        <vertAlign val="subscript"/>
        <sz val="9"/>
        <rFont val="Arial"/>
        <family val="2"/>
      </rPr>
      <t>c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</si>
  <si>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</si>
  <si>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</si>
  <si>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b/>
        <vertAlign val="subscript"/>
        <sz val="9"/>
        <rFont val="Arial"/>
        <family val="2"/>
      </rPr>
      <t>i</t>
    </r>
  </si>
  <si>
    <t>Temp =</t>
  </si>
  <si>
    <t>Humidity =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</si>
  <si>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</si>
  <si>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</si>
  <si>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</si>
  <si>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vertAlign val="subscript"/>
        <sz val="9"/>
        <rFont val="Arial"/>
        <family val="2"/>
      </rPr>
      <t>B1</t>
    </r>
  </si>
  <si>
    <r>
      <t>U</t>
    </r>
    <r>
      <rPr>
        <vertAlign val="subscript"/>
        <sz val="9"/>
        <rFont val="Arial"/>
        <family val="2"/>
      </rPr>
      <t>B2</t>
    </r>
    <r>
      <rPr>
        <sz val="11"/>
        <color theme="1"/>
        <rFont val="Calibri"/>
        <family val="2"/>
        <scheme val="minor"/>
      </rPr>
      <t/>
    </r>
  </si>
  <si>
    <r>
      <t>U</t>
    </r>
    <r>
      <rPr>
        <vertAlign val="subscript"/>
        <sz val="9"/>
        <rFont val="Arial"/>
        <family val="2"/>
      </rPr>
      <t>A1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</si>
</sst>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000"/>
    <numFmt numFmtId="169" formatCode="0.0000"/>
    <numFmt numFmtId="170" formatCode="0.00000"/>
    <numFmt numFmtId="172" formatCode="0.000"/>
    <numFmt numFmtId="173" formatCode="dd\ mmmm\ yyyy"/>
    <numFmt numFmtId="174" formatCode="0.0"/>
    <numFmt numFmtId="179" formatCode="_-[$€]* #,##0.00_-;\-[$€]* #,##0.00_-;_-[$€]* &quot;-&quot;??_-;_-@_-"/>
    <numFmt numFmtId="180" formatCode="#,##0.00_ ;\-#,##0.00\ "/>
  </numFmts>
  <fonts count="86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theme="4" tint="-0.499984740745262"/>
      <name val="Arial"/>
      <family val="2"/>
    </font>
    <font>
      <b/>
      <sz val="9"/>
      <color theme="8" tint="-0.499984740745262"/>
      <name val="Arial"/>
      <family val="2"/>
    </font>
    <font>
      <vertAlign val="superscript"/>
      <sz val="9"/>
      <name val="Arial"/>
      <family val="2"/>
    </font>
    <font>
      <vertAlign val="subscript"/>
      <sz val="9"/>
      <color theme="1"/>
      <name val="Arial"/>
      <family val="2"/>
    </font>
    <font>
      <b/>
      <vertAlign val="subscript"/>
      <sz val="9"/>
      <name val="Arial"/>
      <family val="2"/>
    </font>
    <font>
      <sz val="9"/>
      <color theme="2" tint="-0.499984740745262"/>
      <name val="Arial"/>
      <family val="2"/>
    </font>
    <font>
      <sz val="9"/>
      <color theme="5" tint="0.39991454817346722"/>
      <name val="Arial"/>
      <family val="2"/>
    </font>
    <font>
      <b/>
      <sz val="9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b/>
      <sz val="9"/>
      <color rgb="FF002060"/>
      <name val="Arial"/>
      <family val="2"/>
    </font>
    <font>
      <b/>
      <sz val="9"/>
      <color theme="3"/>
      <name val="Arial"/>
      <family val="2"/>
    </font>
    <font>
      <b/>
      <sz val="9"/>
      <color rgb="FFFF0000"/>
      <name val="Arial"/>
      <family val="2"/>
    </font>
    <font>
      <sz val="9"/>
      <color indexed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179" fontId="0" fillId="0" borderId="0"/>
    <xf numFmtId="179" fontId="3" fillId="0" borderId="0"/>
    <xf numFmtId="179" fontId="3" fillId="0" borderId="0"/>
    <xf numFmtId="179" fontId="7" fillId="0" borderId="0"/>
    <xf numFmtId="167" fontId="7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3" fillId="0" borderId="0"/>
    <xf numFmtId="179" fontId="3" fillId="0" borderId="0"/>
    <xf numFmtId="179" fontId="7" fillId="0" borderId="0"/>
    <xf numFmtId="179" fontId="7" fillId="0" borderId="0"/>
    <xf numFmtId="179" fontId="7" fillId="0" borderId="0"/>
    <xf numFmtId="179" fontId="16" fillId="0" borderId="0"/>
    <xf numFmtId="179" fontId="16" fillId="0" borderId="0"/>
    <xf numFmtId="179" fontId="16" fillId="0" borderId="0"/>
    <xf numFmtId="179" fontId="16" fillId="0" borderId="0"/>
    <xf numFmtId="179" fontId="3" fillId="0" borderId="0"/>
    <xf numFmtId="179" fontId="7" fillId="0" borderId="0"/>
    <xf numFmtId="179" fontId="16" fillId="0" borderId="0"/>
    <xf numFmtId="17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3" fillId="0" borderId="0"/>
    <xf numFmtId="179" fontId="3" fillId="0" borderId="0"/>
    <xf numFmtId="179" fontId="3" fillId="0" borderId="0"/>
    <xf numFmtId="179" fontId="7" fillId="0" borderId="0"/>
    <xf numFmtId="179" fontId="3" fillId="0" borderId="0"/>
    <xf numFmtId="179" fontId="62" fillId="0" borderId="0" applyNumberFormat="0" applyAlignment="0"/>
    <xf numFmtId="167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38" fontId="62" fillId="2" borderId="0" applyNumberFormat="0" applyBorder="0" applyAlignment="0" applyProtection="0"/>
    <xf numFmtId="179" fontId="63" fillId="0" borderId="15" applyNumberFormat="0" applyAlignment="0" applyProtection="0">
      <alignment horizontal="left" vertical="center"/>
    </xf>
    <xf numFmtId="179" fontId="63" fillId="0" borderId="12">
      <alignment horizontal="left" vertical="center"/>
    </xf>
    <xf numFmtId="10" fontId="62" fillId="2" borderId="10" applyNumberFormat="0" applyBorder="0" applyAlignment="0" applyProtection="0"/>
    <xf numFmtId="179" fontId="3" fillId="0" borderId="0"/>
    <xf numFmtId="179" fontId="3" fillId="0" borderId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79" fontId="7" fillId="16" borderId="16" applyNumberFormat="0" applyFont="0" applyAlignment="0" applyProtection="0"/>
    <xf numFmtId="10" fontId="3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79" fontId="7" fillId="0" borderId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9" fontId="7" fillId="0" borderId="0"/>
    <xf numFmtId="166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605">
    <xf numFmtId="179" fontId="0" fillId="0" borderId="0" xfId="0"/>
    <xf numFmtId="179" fontId="1" fillId="2" borderId="0" xfId="0" applyFont="1" applyFill="1" applyAlignment="1">
      <alignment horizontal="center" vertical="center"/>
    </xf>
    <xf numFmtId="179" fontId="2" fillId="2" borderId="0" xfId="0" applyFont="1" applyFill="1" applyAlignment="1">
      <alignment vertical="center"/>
    </xf>
    <xf numFmtId="179" fontId="2" fillId="2" borderId="0" xfId="0" applyFont="1" applyFill="1" applyAlignment="1">
      <alignment horizontal="center" vertical="center"/>
    </xf>
    <xf numFmtId="179" fontId="4" fillId="0" borderId="0" xfId="1" applyFont="1" applyAlignment="1">
      <alignment horizontal="center" vertical="center"/>
    </xf>
    <xf numFmtId="179" fontId="6" fillId="0" borderId="0" xfId="2" applyFont="1" applyFill="1" applyAlignment="1">
      <alignment horizontal="center" vertical="center"/>
    </xf>
    <xf numFmtId="179" fontId="8" fillId="0" borderId="0" xfId="2" applyFont="1" applyFill="1" applyBorder="1" applyAlignment="1">
      <alignment horizontal="right" vertical="center"/>
    </xf>
    <xf numFmtId="179" fontId="8" fillId="0" borderId="0" xfId="2" applyFont="1" applyFill="1" applyBorder="1" applyAlignment="1">
      <alignment horizontal="left" vertical="center"/>
    </xf>
    <xf numFmtId="179" fontId="11" fillId="0" borderId="0" xfId="2" applyFont="1" applyFill="1" applyBorder="1" applyAlignment="1">
      <alignment horizontal="right" vertical="center"/>
    </xf>
    <xf numFmtId="179" fontId="11" fillId="0" borderId="0" xfId="2" applyFont="1" applyFill="1" applyBorder="1" applyAlignment="1">
      <alignment horizontal="left" vertical="center"/>
    </xf>
    <xf numFmtId="179" fontId="6" fillId="0" borderId="0" xfId="2" applyFont="1" applyFill="1" applyBorder="1" applyAlignment="1">
      <alignment horizontal="center" vertical="center"/>
    </xf>
    <xf numFmtId="179" fontId="6" fillId="0" borderId="0" xfId="3" applyFont="1" applyFill="1" applyBorder="1" applyAlignment="1">
      <alignment horizontal="center" vertical="center"/>
    </xf>
    <xf numFmtId="172" fontId="12" fillId="0" borderId="0" xfId="3" applyNumberFormat="1" applyFont="1" applyFill="1" applyBorder="1" applyAlignment="1">
      <alignment horizontal="center" vertical="center"/>
    </xf>
    <xf numFmtId="179" fontId="6" fillId="0" borderId="0" xfId="3" applyFont="1" applyFill="1" applyAlignment="1">
      <alignment horizontal="center" vertical="center"/>
    </xf>
    <xf numFmtId="172" fontId="12" fillId="0" borderId="0" xfId="3" applyNumberFormat="1" applyFont="1" applyFill="1" applyAlignment="1">
      <alignment horizontal="center" vertical="center"/>
    </xf>
    <xf numFmtId="179" fontId="9" fillId="0" borderId="0" xfId="3" applyFont="1" applyFill="1" applyAlignment="1">
      <alignment horizontal="center" vertical="center"/>
    </xf>
    <xf numFmtId="179" fontId="5" fillId="0" borderId="0" xfId="3" applyFont="1" applyFill="1" applyAlignment="1">
      <alignment horizontal="center" vertical="center"/>
    </xf>
    <xf numFmtId="179" fontId="20" fillId="0" borderId="0" xfId="0" applyFont="1" applyFill="1" applyAlignment="1">
      <alignment vertical="center"/>
    </xf>
    <xf numFmtId="179" fontId="18" fillId="0" borderId="0" xfId="0" applyFont="1" applyFill="1" applyAlignment="1">
      <alignment vertical="center"/>
    </xf>
    <xf numFmtId="179" fontId="20" fillId="0" borderId="0" xfId="0" applyFont="1" applyFill="1" applyBorder="1" applyAlignment="1">
      <alignment horizontal="right" vertical="center"/>
    </xf>
    <xf numFmtId="179" fontId="20" fillId="0" borderId="0" xfId="0" applyFont="1" applyFill="1" applyAlignment="1">
      <alignment horizontal="center" vertical="center"/>
    </xf>
    <xf numFmtId="179" fontId="18" fillId="0" borderId="0" xfId="0" applyFont="1" applyFill="1" applyBorder="1" applyAlignment="1">
      <alignment vertical="center"/>
    </xf>
    <xf numFmtId="179" fontId="20" fillId="0" borderId="0" xfId="0" applyFont="1" applyFill="1" applyAlignment="1">
      <alignment horizontal="left" vertical="center"/>
    </xf>
    <xf numFmtId="174" fontId="20" fillId="0" borderId="0" xfId="0" applyNumberFormat="1" applyFont="1" applyFill="1" applyAlignment="1">
      <alignment vertical="center"/>
    </xf>
    <xf numFmtId="179" fontId="18" fillId="0" borderId="14" xfId="0" applyFont="1" applyFill="1" applyBorder="1" applyAlignment="1">
      <alignment vertical="center"/>
    </xf>
    <xf numFmtId="179" fontId="23" fillId="0" borderId="0" xfId="10" applyFont="1" applyAlignment="1">
      <alignment horizontal="center" vertical="center"/>
    </xf>
    <xf numFmtId="179" fontId="7" fillId="0" borderId="0" xfId="0" applyFont="1" applyAlignment="1">
      <alignment vertical="center"/>
    </xf>
    <xf numFmtId="179" fontId="23" fillId="0" borderId="0" xfId="10" applyFont="1" applyBorder="1" applyAlignment="1">
      <alignment horizontal="center" vertical="center"/>
    </xf>
    <xf numFmtId="179" fontId="20" fillId="0" borderId="0" xfId="19" applyFont="1" applyFill="1" applyAlignment="1">
      <alignment vertical="center"/>
    </xf>
    <xf numFmtId="174" fontId="18" fillId="0" borderId="0" xfId="0" applyNumberFormat="1" applyFont="1" applyFill="1" applyBorder="1" applyAlignment="1">
      <alignment vertical="center"/>
    </xf>
    <xf numFmtId="179" fontId="18" fillId="0" borderId="0" xfId="0" applyFont="1" applyFill="1" applyAlignment="1">
      <alignment horizontal="left" vertical="center"/>
    </xf>
    <xf numFmtId="179" fontId="18" fillId="0" borderId="0" xfId="0" applyFont="1" applyFill="1" applyAlignment="1">
      <alignment horizontal="right" vertical="center"/>
    </xf>
    <xf numFmtId="179" fontId="21" fillId="0" borderId="0" xfId="19" applyFont="1" applyFill="1" applyBorder="1" applyAlignment="1"/>
    <xf numFmtId="173" fontId="18" fillId="0" borderId="0" xfId="19" applyNumberFormat="1" applyFont="1" applyFill="1" applyBorder="1" applyAlignment="1">
      <alignment vertical="center"/>
    </xf>
    <xf numFmtId="179" fontId="18" fillId="0" borderId="0" xfId="19" applyFont="1" applyFill="1" applyAlignment="1">
      <alignment vertical="center"/>
    </xf>
    <xf numFmtId="179" fontId="7" fillId="0" borderId="0" xfId="10" applyFont="1" applyAlignment="1">
      <alignment vertical="center"/>
    </xf>
    <xf numFmtId="179" fontId="28" fillId="0" borderId="0" xfId="0" applyFont="1"/>
    <xf numFmtId="179" fontId="20" fillId="0" borderId="0" xfId="14" applyFont="1" applyFill="1" applyAlignment="1">
      <alignment vertical="center"/>
    </xf>
    <xf numFmtId="179" fontId="7" fillId="0" borderId="0" xfId="10" applyFont="1" applyBorder="1" applyAlignment="1">
      <alignment vertical="center"/>
    </xf>
    <xf numFmtId="179" fontId="20" fillId="0" borderId="14" xfId="0" applyFont="1" applyFill="1" applyBorder="1" applyAlignment="1">
      <alignment vertical="center"/>
    </xf>
    <xf numFmtId="179" fontId="6" fillId="0" borderId="0" xfId="0" applyFont="1" applyBorder="1" applyAlignment="1">
      <alignment horizontal="center" vertical="center"/>
    </xf>
    <xf numFmtId="179" fontId="5" fillId="0" borderId="0" xfId="5" applyNumberFormat="1" applyFont="1" applyBorder="1" applyAlignment="1">
      <alignment vertical="center"/>
    </xf>
    <xf numFmtId="179" fontId="29" fillId="0" borderId="14" xfId="14" applyFont="1" applyFill="1" applyBorder="1" applyAlignment="1">
      <alignment vertical="center"/>
    </xf>
    <xf numFmtId="179" fontId="20" fillId="0" borderId="14" xfId="14" applyFont="1" applyFill="1" applyBorder="1" applyAlignment="1">
      <alignment vertical="center"/>
    </xf>
    <xf numFmtId="179" fontId="29" fillId="0" borderId="0" xfId="14" applyFont="1" applyFill="1" applyAlignment="1">
      <alignment horizontal="left" vertical="center"/>
    </xf>
    <xf numFmtId="179" fontId="29" fillId="0" borderId="0" xfId="14" applyFont="1" applyFill="1" applyBorder="1" applyAlignment="1">
      <alignment vertical="center"/>
    </xf>
    <xf numFmtId="179" fontId="20" fillId="0" borderId="0" xfId="14" applyFont="1" applyFill="1" applyBorder="1" applyAlignment="1">
      <alignment vertical="center"/>
    </xf>
    <xf numFmtId="179" fontId="32" fillId="0" borderId="0" xfId="10" applyFont="1" applyAlignment="1">
      <alignment vertical="center"/>
    </xf>
    <xf numFmtId="179" fontId="34" fillId="0" borderId="0" xfId="10" applyFont="1" applyAlignment="1">
      <alignment horizontal="center" vertical="center"/>
    </xf>
    <xf numFmtId="179" fontId="35" fillId="0" borderId="0" xfId="10" applyFont="1" applyAlignment="1">
      <alignment vertical="center"/>
    </xf>
    <xf numFmtId="179" fontId="36" fillId="0" borderId="0" xfId="10" applyFont="1" applyAlignment="1">
      <alignment vertical="center"/>
    </xf>
    <xf numFmtId="179" fontId="5" fillId="0" borderId="0" xfId="10" applyFont="1" applyBorder="1" applyAlignment="1">
      <alignment vertical="center"/>
    </xf>
    <xf numFmtId="179" fontId="37" fillId="0" borderId="0" xfId="10" applyFont="1" applyAlignment="1">
      <alignment vertical="center"/>
    </xf>
    <xf numFmtId="179" fontId="37" fillId="0" borderId="0" xfId="10" applyFont="1" applyBorder="1" applyAlignment="1">
      <alignment vertical="center"/>
    </xf>
    <xf numFmtId="179" fontId="5" fillId="0" borderId="0" xfId="10" applyFont="1" applyAlignment="1">
      <alignment horizontal="center" vertical="center"/>
    </xf>
    <xf numFmtId="179" fontId="6" fillId="0" borderId="0" xfId="10" applyFont="1" applyBorder="1" applyAlignment="1">
      <alignment vertical="center"/>
    </xf>
    <xf numFmtId="179" fontId="6" fillId="0" borderId="0" xfId="10" applyFont="1" applyAlignment="1">
      <alignment vertical="center"/>
    </xf>
    <xf numFmtId="179" fontId="5" fillId="0" borderId="0" xfId="10" applyFont="1" applyAlignment="1">
      <alignment horizontal="right" vertical="center"/>
    </xf>
    <xf numFmtId="179" fontId="5" fillId="0" borderId="0" xfId="10" applyFont="1" applyAlignment="1">
      <alignment vertical="center"/>
    </xf>
    <xf numFmtId="179" fontId="37" fillId="0" borderId="0" xfId="10" applyFont="1" applyBorder="1" applyAlignment="1">
      <alignment horizontal="center" vertical="center"/>
    </xf>
    <xf numFmtId="179" fontId="5" fillId="0" borderId="0" xfId="5" applyFont="1" applyBorder="1" applyAlignment="1">
      <alignment vertical="center"/>
    </xf>
    <xf numFmtId="179" fontId="6" fillId="0" borderId="0" xfId="5" applyFont="1" applyBorder="1" applyAlignment="1">
      <alignment vertical="center"/>
    </xf>
    <xf numFmtId="179" fontId="38" fillId="0" borderId="0" xfId="18" applyFont="1" applyBorder="1" applyAlignment="1">
      <alignment horizontal="left" vertical="center"/>
    </xf>
    <xf numFmtId="179" fontId="6" fillId="0" borderId="0" xfId="18" applyFont="1" applyBorder="1" applyAlignment="1">
      <alignment horizontal="left" vertical="center"/>
    </xf>
    <xf numFmtId="179" fontId="35" fillId="0" borderId="0" xfId="18" applyFont="1" applyBorder="1" applyAlignment="1">
      <alignment horizontal="left" vertical="center"/>
    </xf>
    <xf numFmtId="179" fontId="35" fillId="0" borderId="0" xfId="10" applyFont="1" applyBorder="1" applyAlignment="1">
      <alignment vertical="center"/>
    </xf>
    <xf numFmtId="179" fontId="37" fillId="0" borderId="0" xfId="5" applyFont="1" applyBorder="1" applyAlignment="1">
      <alignment vertical="center"/>
    </xf>
    <xf numFmtId="179" fontId="6" fillId="0" borderId="0" xfId="18" applyFont="1" applyFill="1" applyBorder="1" applyAlignment="1">
      <alignment horizontal="left" vertical="center"/>
    </xf>
    <xf numFmtId="179" fontId="36" fillId="0" borderId="0" xfId="10" applyFont="1" applyBorder="1" applyAlignment="1">
      <alignment vertical="center"/>
    </xf>
    <xf numFmtId="179" fontId="5" fillId="0" borderId="14" xfId="10" applyFont="1" applyBorder="1" applyAlignment="1">
      <alignment vertical="center"/>
    </xf>
    <xf numFmtId="179" fontId="37" fillId="0" borderId="14" xfId="10" applyFont="1" applyBorder="1" applyAlignment="1">
      <alignment vertical="center"/>
    </xf>
    <xf numFmtId="179" fontId="37" fillId="0" borderId="14" xfId="10" applyFont="1" applyBorder="1" applyAlignment="1">
      <alignment horizontal="center" vertical="center"/>
    </xf>
    <xf numFmtId="179" fontId="39" fillId="0" borderId="14" xfId="10" applyFont="1" applyBorder="1" applyAlignment="1">
      <alignment vertical="center"/>
    </xf>
    <xf numFmtId="179" fontId="6" fillId="0" borderId="14" xfId="10" applyFont="1" applyBorder="1" applyAlignment="1">
      <alignment vertical="center"/>
    </xf>
    <xf numFmtId="179" fontId="6" fillId="0" borderId="14" xfId="18" applyFont="1" applyBorder="1" applyAlignment="1">
      <alignment horizontal="left" vertical="center"/>
    </xf>
    <xf numFmtId="167" fontId="35" fillId="0" borderId="0" xfId="4" applyFont="1" applyFill="1" applyBorder="1" applyAlignment="1" applyProtection="1">
      <alignment vertical="center"/>
      <protection locked="0"/>
    </xf>
    <xf numFmtId="179" fontId="35" fillId="0" borderId="0" xfId="10" applyFont="1" applyBorder="1" applyAlignment="1">
      <alignment horizontal="left" vertical="center"/>
    </xf>
    <xf numFmtId="179" fontId="37" fillId="0" borderId="0" xfId="5" applyFont="1" applyBorder="1" applyAlignment="1">
      <alignment horizontal="center" vertical="center"/>
    </xf>
    <xf numFmtId="179" fontId="35" fillId="0" borderId="0" xfId="10" applyFont="1" applyAlignment="1">
      <alignment horizontal="left" vertical="center"/>
    </xf>
    <xf numFmtId="179" fontId="5" fillId="0" borderId="0" xfId="5" applyFont="1" applyBorder="1" applyAlignment="1">
      <alignment horizontal="center" vertical="center"/>
    </xf>
    <xf numFmtId="179" fontId="35" fillId="0" borderId="0" xfId="5" applyFont="1" applyBorder="1" applyAlignment="1">
      <alignment vertical="center"/>
    </xf>
    <xf numFmtId="179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179" fontId="37" fillId="0" borderId="0" xfId="10" applyFont="1" applyAlignment="1">
      <alignment horizontal="left" vertical="center"/>
    </xf>
    <xf numFmtId="179" fontId="37" fillId="0" borderId="0" xfId="5" applyFont="1" applyBorder="1" applyAlignment="1">
      <alignment horizontal="left" vertical="center"/>
    </xf>
    <xf numFmtId="179" fontId="39" fillId="0" borderId="0" xfId="10" applyFont="1" applyAlignment="1">
      <alignment vertical="center"/>
    </xf>
    <xf numFmtId="179" fontId="39" fillId="0" borderId="0" xfId="5" applyFont="1" applyBorder="1" applyAlignment="1">
      <alignment vertical="center"/>
    </xf>
    <xf numFmtId="179" fontId="6" fillId="0" borderId="0" xfId="10" applyFont="1" applyAlignment="1">
      <alignment horizontal="center" vertical="center"/>
    </xf>
    <xf numFmtId="179" fontId="20" fillId="0" borderId="0" xfId="10" applyFont="1" applyAlignment="1">
      <alignment vertical="center"/>
    </xf>
    <xf numFmtId="179" fontId="5" fillId="0" borderId="0" xfId="10" applyFont="1" applyBorder="1" applyAlignment="1">
      <alignment horizontal="center" vertical="center"/>
    </xf>
    <xf numFmtId="179" fontId="41" fillId="0" borderId="0" xfId="10" applyFont="1" applyAlignment="1">
      <alignment vertical="center"/>
    </xf>
    <xf numFmtId="179" fontId="41" fillId="0" borderId="0" xfId="10" applyFont="1" applyBorder="1" applyAlignment="1">
      <alignment vertical="center"/>
    </xf>
    <xf numFmtId="179" fontId="6" fillId="0" borderId="0" xfId="10" quotePrefix="1" applyFont="1" applyAlignment="1">
      <alignment vertical="center"/>
    </xf>
    <xf numFmtId="179" fontId="36" fillId="0" borderId="0" xfId="10" applyFont="1" applyAlignment="1">
      <alignment horizontal="center" vertical="center"/>
    </xf>
    <xf numFmtId="179" fontId="35" fillId="0" borderId="0" xfId="3" applyFont="1" applyBorder="1" applyAlignment="1">
      <alignment vertical="center"/>
    </xf>
    <xf numFmtId="179" fontId="35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42" fillId="0" borderId="0" xfId="10" applyFont="1" applyAlignment="1">
      <alignment vertical="center"/>
    </xf>
    <xf numFmtId="179" fontId="7" fillId="0" borderId="0" xfId="10" applyFont="1" applyAlignment="1">
      <alignment horizontal="center" vertical="center"/>
    </xf>
    <xf numFmtId="179" fontId="7" fillId="0" borderId="0" xfId="10" applyFont="1" applyBorder="1" applyAlignment="1">
      <alignment horizontal="center" vertical="center"/>
    </xf>
    <xf numFmtId="179" fontId="36" fillId="0" borderId="0" xfId="10" applyFont="1" applyAlignment="1">
      <alignment horizontal="right" vertical="center"/>
    </xf>
    <xf numFmtId="179" fontId="43" fillId="0" borderId="0" xfId="10" applyFont="1" applyBorder="1" applyAlignment="1">
      <alignment vertical="center"/>
    </xf>
    <xf numFmtId="179" fontId="35" fillId="0" borderId="0" xfId="10" quotePrefix="1" applyFont="1" applyBorder="1" applyAlignment="1">
      <alignment vertical="center" shrinkToFit="1"/>
    </xf>
    <xf numFmtId="179" fontId="23" fillId="0" borderId="0" xfId="10" applyFont="1" applyBorder="1" applyAlignment="1">
      <alignment vertical="center"/>
    </xf>
    <xf numFmtId="179" fontId="42" fillId="0" borderId="0" xfId="5" applyFont="1" applyBorder="1" applyAlignment="1">
      <alignment vertical="center"/>
    </xf>
    <xf numFmtId="179" fontId="7" fillId="0" borderId="0" xfId="5" applyFont="1" applyBorder="1" applyAlignment="1">
      <alignment vertical="center"/>
    </xf>
    <xf numFmtId="179" fontId="44" fillId="0" borderId="0" xfId="18" applyFont="1" applyBorder="1" applyAlignment="1">
      <alignment horizontal="left" vertical="center"/>
    </xf>
    <xf numFmtId="179" fontId="42" fillId="0" borderId="14" xfId="10" applyFont="1" applyBorder="1" applyAlignment="1">
      <alignment vertical="center"/>
    </xf>
    <xf numFmtId="179" fontId="7" fillId="0" borderId="14" xfId="10" applyFont="1" applyBorder="1" applyAlignment="1">
      <alignment vertical="center"/>
    </xf>
    <xf numFmtId="179" fontId="36" fillId="0" borderId="14" xfId="10" applyFont="1" applyBorder="1" applyAlignment="1">
      <alignment vertical="center"/>
    </xf>
    <xf numFmtId="179" fontId="36" fillId="0" borderId="0" xfId="18" applyFont="1" applyBorder="1" applyAlignment="1">
      <alignment horizontal="left" vertical="center"/>
    </xf>
    <xf numFmtId="179" fontId="35" fillId="0" borderId="0" xfId="5" applyFont="1" applyAlignment="1">
      <alignment vertical="center"/>
    </xf>
    <xf numFmtId="179" fontId="5" fillId="0" borderId="0" xfId="10" applyFont="1" applyAlignment="1">
      <alignment horizontal="left" vertical="center"/>
    </xf>
    <xf numFmtId="179" fontId="42" fillId="0" borderId="0" xfId="5" applyFont="1" applyBorder="1" applyAlignment="1">
      <alignment horizontal="left" vertical="center"/>
    </xf>
    <xf numFmtId="179" fontId="23" fillId="0" borderId="0" xfId="5" applyFont="1" applyBorder="1" applyAlignment="1">
      <alignment horizontal="center" vertical="center"/>
    </xf>
    <xf numFmtId="179" fontId="7" fillId="0" borderId="0" xfId="5" quotePrefix="1" applyNumberFormat="1" applyFont="1" applyBorder="1" applyAlignment="1">
      <alignment vertical="center"/>
    </xf>
    <xf numFmtId="179" fontId="7" fillId="0" borderId="0" xfId="5" applyNumberFormat="1" applyFont="1" applyBorder="1" applyAlignment="1">
      <alignment vertical="center"/>
    </xf>
    <xf numFmtId="179" fontId="36" fillId="0" borderId="0" xfId="5" applyFont="1" applyBorder="1" applyAlignment="1">
      <alignment vertical="center"/>
    </xf>
    <xf numFmtId="179" fontId="46" fillId="0" borderId="0" xfId="5" applyFont="1" applyBorder="1" applyAlignment="1">
      <alignment horizontal="left" vertical="center"/>
    </xf>
    <xf numFmtId="179" fontId="43" fillId="0" borderId="0" xfId="5" applyFont="1" applyBorder="1" applyAlignment="1">
      <alignment horizontal="center" vertical="center"/>
    </xf>
    <xf numFmtId="179" fontId="43" fillId="0" borderId="0" xfId="5" applyNumberFormat="1" applyFont="1" applyBorder="1" applyAlignment="1">
      <alignment horizontal="left" vertical="center"/>
    </xf>
    <xf numFmtId="179" fontId="42" fillId="0" borderId="0" xfId="10" applyFont="1" applyBorder="1" applyAlignment="1">
      <alignment vertical="center"/>
    </xf>
    <xf numFmtId="173" fontId="7" fillId="0" borderId="0" xfId="5" applyNumberFormat="1" applyFont="1" applyBorder="1" applyAlignment="1">
      <alignment horizontal="left" vertical="center"/>
    </xf>
    <xf numFmtId="179" fontId="23" fillId="0" borderId="0" xfId="10" applyFont="1" applyAlignment="1">
      <alignment vertical="center"/>
    </xf>
    <xf numFmtId="179" fontId="47" fillId="0" borderId="0" xfId="10" applyFont="1" applyAlignment="1">
      <alignment vertical="center"/>
    </xf>
    <xf numFmtId="179" fontId="18" fillId="0" borderId="0" xfId="5" applyFont="1" applyBorder="1" applyAlignment="1">
      <alignment horizontal="left" vertical="center"/>
    </xf>
    <xf numFmtId="179" fontId="43" fillId="0" borderId="0" xfId="5" applyFont="1" applyBorder="1" applyAlignment="1">
      <alignment horizontal="left" vertical="center"/>
    </xf>
    <xf numFmtId="179" fontId="35" fillId="0" borderId="0" xfId="5" applyFont="1" applyBorder="1" applyAlignment="1">
      <alignment horizontal="left" vertical="center"/>
    </xf>
    <xf numFmtId="179" fontId="43" fillId="0" borderId="0" xfId="5" applyFont="1" applyBorder="1" applyAlignment="1">
      <alignment vertical="center"/>
    </xf>
    <xf numFmtId="179" fontId="35" fillId="0" borderId="0" xfId="20" applyFont="1" applyBorder="1" applyAlignment="1">
      <alignment vertical="center"/>
    </xf>
    <xf numFmtId="179" fontId="6" fillId="0" borderId="0" xfId="10" quotePrefix="1" applyFont="1" applyBorder="1" applyAlignment="1">
      <alignment vertical="center"/>
    </xf>
    <xf numFmtId="179" fontId="7" fillId="0" borderId="0" xfId="10" quotePrefix="1" applyFont="1" applyBorder="1" applyAlignment="1">
      <alignment vertical="center"/>
    </xf>
    <xf numFmtId="173" fontId="36" fillId="0" borderId="0" xfId="10" applyNumberFormat="1" applyFont="1" applyBorder="1" applyAlignment="1">
      <alignment vertical="center"/>
    </xf>
    <xf numFmtId="2" fontId="36" fillId="0" borderId="0" xfId="5" applyNumberFormat="1" applyFont="1" applyBorder="1" applyAlignment="1">
      <alignment vertical="center"/>
    </xf>
    <xf numFmtId="1" fontId="36" fillId="0" borderId="0" xfId="5" applyNumberFormat="1" applyFont="1" applyBorder="1" applyAlignment="1">
      <alignment vertical="center"/>
    </xf>
    <xf numFmtId="173" fontId="7" fillId="0" borderId="0" xfId="10" applyNumberFormat="1" applyFont="1" applyBorder="1" applyAlignment="1">
      <alignment vertical="center"/>
    </xf>
    <xf numFmtId="179" fontId="6" fillId="0" borderId="0" xfId="5" applyNumberFormat="1" applyFont="1" applyBorder="1" applyAlignment="1">
      <alignment vertical="center"/>
    </xf>
    <xf numFmtId="179" fontId="48" fillId="0" borderId="0" xfId="5" applyNumberFormat="1" applyFont="1" applyAlignment="1">
      <alignment vertical="center"/>
    </xf>
    <xf numFmtId="179" fontId="38" fillId="0" borderId="0" xfId="5" applyNumberFormat="1" applyFont="1" applyAlignment="1">
      <alignment vertical="center"/>
    </xf>
    <xf numFmtId="179" fontId="6" fillId="0" borderId="0" xfId="5" applyNumberFormat="1" applyFont="1" applyAlignment="1">
      <alignment vertical="center"/>
    </xf>
    <xf numFmtId="179" fontId="6" fillId="0" borderId="0" xfId="0" applyNumberFormat="1" applyFont="1" applyBorder="1" applyAlignment="1">
      <alignment vertical="center"/>
    </xf>
    <xf numFmtId="179" fontId="6" fillId="0" borderId="0" xfId="6" applyNumberFormat="1" applyFont="1" applyAlignment="1">
      <alignment vertical="center"/>
    </xf>
    <xf numFmtId="179" fontId="6" fillId="0" borderId="0" xfId="6" applyNumberFormat="1" applyFont="1" applyBorder="1" applyAlignment="1">
      <alignment horizontal="center" vertical="center"/>
    </xf>
    <xf numFmtId="179" fontId="6" fillId="0" borderId="0" xfId="13" quotePrefix="1" applyNumberFormat="1" applyFont="1" applyBorder="1" applyAlignment="1">
      <alignment horizontal="center" vertical="center"/>
    </xf>
    <xf numFmtId="179" fontId="45" fillId="0" borderId="0" xfId="8" applyNumberFormat="1" applyFont="1" applyBorder="1" applyAlignment="1">
      <alignment vertical="center" shrinkToFit="1"/>
    </xf>
    <xf numFmtId="179" fontId="18" fillId="14" borderId="0" xfId="0" applyFont="1" applyFill="1" applyBorder="1" applyAlignment="1">
      <alignment vertical="center"/>
    </xf>
    <xf numFmtId="179" fontId="20" fillId="14" borderId="0" xfId="19" applyFont="1" applyFill="1" applyBorder="1" applyAlignment="1">
      <alignment vertical="center"/>
    </xf>
    <xf numFmtId="179" fontId="18" fillId="14" borderId="0" xfId="19" applyFont="1" applyFill="1" applyBorder="1" applyAlignment="1">
      <alignment vertical="center"/>
    </xf>
    <xf numFmtId="179" fontId="30" fillId="14" borderId="0" xfId="19" applyFont="1" applyFill="1" applyBorder="1" applyAlignment="1">
      <alignment vertical="center"/>
    </xf>
    <xf numFmtId="174" fontId="9" fillId="14" borderId="0" xfId="19" applyNumberFormat="1" applyFont="1" applyFill="1" applyBorder="1" applyAlignment="1">
      <alignment vertical="center"/>
    </xf>
    <xf numFmtId="170" fontId="18" fillId="14" borderId="0" xfId="19" applyNumberFormat="1" applyFont="1" applyFill="1" applyBorder="1" applyAlignment="1">
      <alignment vertical="center"/>
    </xf>
    <xf numFmtId="170" fontId="7" fillId="14" borderId="0" xfId="0" applyNumberFormat="1" applyFont="1" applyFill="1" applyBorder="1" applyAlignment="1"/>
    <xf numFmtId="179" fontId="18" fillId="14" borderId="0" xfId="0" applyFont="1" applyFill="1" applyBorder="1" applyAlignment="1">
      <alignment horizontal="center" vertical="center"/>
    </xf>
    <xf numFmtId="172" fontId="18" fillId="0" borderId="0" xfId="0" applyNumberFormat="1" applyFont="1" applyFill="1" applyBorder="1" applyAlignment="1">
      <alignment horizontal="center" vertical="center"/>
    </xf>
    <xf numFmtId="172" fontId="31" fillId="0" borderId="0" xfId="0" applyNumberFormat="1" applyFont="1" applyFill="1" applyBorder="1" applyAlignment="1">
      <alignment horizontal="center" vertical="center"/>
    </xf>
    <xf numFmtId="179" fontId="31" fillId="0" borderId="0" xfId="0" applyFont="1" applyFill="1" applyBorder="1" applyAlignment="1">
      <alignment horizontal="center" vertical="center"/>
    </xf>
    <xf numFmtId="172" fontId="10" fillId="14" borderId="0" xfId="0" applyNumberFormat="1" applyFont="1" applyFill="1" applyBorder="1" applyAlignment="1">
      <alignment horizontal="center" vertical="center"/>
    </xf>
    <xf numFmtId="179" fontId="10" fillId="14" borderId="0" xfId="0" applyFont="1" applyFill="1" applyBorder="1" applyAlignment="1">
      <alignment horizontal="center" vertical="center"/>
    </xf>
    <xf numFmtId="172" fontId="50" fillId="0" borderId="0" xfId="0" applyNumberFormat="1" applyFont="1" applyFill="1" applyBorder="1" applyAlignment="1">
      <alignment horizontal="center" vertical="center"/>
    </xf>
    <xf numFmtId="179" fontId="50" fillId="0" borderId="0" xfId="0" applyFont="1" applyFill="1" applyBorder="1" applyAlignment="1">
      <alignment horizontal="center" vertical="center"/>
    </xf>
    <xf numFmtId="2" fontId="54" fillId="2" borderId="0" xfId="0" applyNumberFormat="1" applyFont="1" applyFill="1" applyBorder="1" applyAlignment="1">
      <alignment vertical="center"/>
    </xf>
    <xf numFmtId="179" fontId="52" fillId="14" borderId="0" xfId="0" applyFont="1" applyFill="1" applyBorder="1" applyAlignment="1">
      <alignment vertical="center"/>
    </xf>
    <xf numFmtId="174" fontId="53" fillId="2" borderId="0" xfId="0" applyNumberFormat="1" applyFont="1" applyFill="1" applyBorder="1" applyAlignment="1">
      <alignment vertical="center"/>
    </xf>
    <xf numFmtId="179" fontId="1" fillId="2" borderId="0" xfId="27" applyFont="1" applyFill="1" applyAlignment="1" applyProtection="1">
      <alignment vertical="center"/>
    </xf>
    <xf numFmtId="179" fontId="31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179" fontId="6" fillId="0" borderId="0" xfId="10" applyFont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7" fillId="0" borderId="0" xfId="10" applyFont="1" applyBorder="1" applyAlignment="1">
      <alignment horizontal="center" vertical="center"/>
    </xf>
    <xf numFmtId="179" fontId="57" fillId="0" borderId="0" xfId="10" applyFont="1" applyBorder="1" applyAlignment="1">
      <alignment vertical="center"/>
    </xf>
    <xf numFmtId="179" fontId="57" fillId="0" borderId="0" xfId="10" applyFont="1" applyAlignment="1">
      <alignment vertical="center"/>
    </xf>
    <xf numFmtId="179" fontId="57" fillId="0" borderId="0" xfId="10" applyFont="1" applyAlignment="1">
      <alignment horizontal="center" vertical="center"/>
    </xf>
    <xf numFmtId="179" fontId="58" fillId="0" borderId="0" xfId="10" applyFont="1" applyBorder="1" applyAlignment="1">
      <alignment vertical="center"/>
    </xf>
    <xf numFmtId="179" fontId="58" fillId="0" borderId="0" xfId="10" applyFont="1" applyAlignment="1">
      <alignment vertical="center"/>
    </xf>
    <xf numFmtId="179" fontId="57" fillId="0" borderId="0" xfId="10" applyFont="1" applyBorder="1" applyAlignment="1">
      <alignment horizontal="center" vertical="center"/>
    </xf>
    <xf numFmtId="179" fontId="57" fillId="0" borderId="0" xfId="5" applyFont="1" applyBorder="1" applyAlignment="1">
      <alignment vertical="center"/>
    </xf>
    <xf numFmtId="179" fontId="58" fillId="0" borderId="0" xfId="5" applyFont="1" applyBorder="1" applyAlignment="1">
      <alignment vertical="center"/>
    </xf>
    <xf numFmtId="179" fontId="59" fillId="0" borderId="0" xfId="18" applyFont="1" applyBorder="1" applyAlignment="1">
      <alignment horizontal="left" vertical="center"/>
    </xf>
    <xf numFmtId="179" fontId="58" fillId="0" borderId="0" xfId="18" applyFont="1" applyBorder="1" applyAlignment="1">
      <alignment horizontal="left" vertical="center"/>
    </xf>
    <xf numFmtId="179" fontId="58" fillId="0" borderId="0" xfId="18" applyFont="1" applyFill="1" applyBorder="1" applyAlignment="1">
      <alignment horizontal="left" vertical="center"/>
    </xf>
    <xf numFmtId="179" fontId="5" fillId="0" borderId="14" xfId="10" applyFont="1" applyBorder="1" applyAlignment="1">
      <alignment horizontal="center" vertical="center"/>
    </xf>
    <xf numFmtId="167" fontId="35" fillId="0" borderId="14" xfId="4" applyFont="1" applyFill="1" applyBorder="1" applyAlignment="1" applyProtection="1">
      <alignment vertical="center"/>
      <protection locked="0"/>
    </xf>
    <xf numFmtId="179" fontId="35" fillId="0" borderId="14" xfId="10" applyFont="1" applyBorder="1" applyAlignment="1">
      <alignment horizontal="left" vertical="center"/>
    </xf>
    <xf numFmtId="179" fontId="5" fillId="0" borderId="0" xfId="18" applyFont="1" applyFill="1" applyBorder="1" applyAlignment="1">
      <alignment horizontal="left"/>
    </xf>
    <xf numFmtId="179" fontId="57" fillId="0" borderId="0" xfId="5" applyFont="1" applyBorder="1" applyAlignment="1">
      <alignment horizontal="left" vertical="center"/>
    </xf>
    <xf numFmtId="179" fontId="58" fillId="0" borderId="0" xfId="5" quotePrefix="1" applyFont="1" applyBorder="1" applyAlignment="1">
      <alignment vertical="center"/>
    </xf>
    <xf numFmtId="1" fontId="6" fillId="0" borderId="0" xfId="5" quotePrefix="1" applyNumberFormat="1" applyFont="1" applyBorder="1" applyAlignment="1">
      <alignment vertical="center"/>
    </xf>
    <xf numFmtId="1" fontId="58" fillId="0" borderId="0" xfId="5" applyNumberFormat="1" applyFont="1" applyBorder="1" applyAlignment="1">
      <alignment horizontal="left" vertical="center"/>
    </xf>
    <xf numFmtId="1" fontId="58" fillId="0" borderId="0" xfId="5" quotePrefix="1" applyNumberFormat="1" applyFont="1" applyBorder="1" applyAlignment="1">
      <alignment horizontal="left" vertical="center"/>
    </xf>
    <xf numFmtId="179" fontId="6" fillId="0" borderId="0" xfId="5" quotePrefix="1" applyNumberFormat="1" applyFont="1" applyBorder="1" applyAlignment="1">
      <alignment vertical="center"/>
    </xf>
    <xf numFmtId="179" fontId="60" fillId="0" borderId="0" xfId="5" applyFont="1" applyBorder="1" applyAlignment="1">
      <alignment horizontal="left" vertical="center"/>
    </xf>
    <xf numFmtId="9" fontId="60" fillId="0" borderId="0" xfId="5" applyNumberFormat="1" applyFont="1" applyBorder="1" applyAlignment="1">
      <alignment horizontal="left" vertical="center"/>
    </xf>
    <xf numFmtId="179" fontId="6" fillId="0" borderId="0" xfId="5" applyNumberFormat="1" applyFont="1" applyBorder="1" applyAlignment="1">
      <alignment vertical="center"/>
    </xf>
    <xf numFmtId="179" fontId="6" fillId="0" borderId="0" xfId="3" applyFont="1" applyBorder="1" applyAlignment="1">
      <alignment vertical="center"/>
    </xf>
    <xf numFmtId="179" fontId="6" fillId="0" borderId="0" xfId="10" applyFont="1" applyAlignment="1">
      <alignment horizontal="left" vertical="center"/>
    </xf>
    <xf numFmtId="179" fontId="28" fillId="0" borderId="0" xfId="28" applyFont="1"/>
    <xf numFmtId="173" fontId="58" fillId="0" borderId="0" xfId="10" applyNumberFormat="1" applyFont="1" applyAlignment="1">
      <alignment vertical="center"/>
    </xf>
    <xf numFmtId="179" fontId="58" fillId="0" borderId="14" xfId="10" applyFont="1" applyBorder="1" applyAlignment="1">
      <alignment vertical="center"/>
    </xf>
    <xf numFmtId="179" fontId="35" fillId="0" borderId="14" xfId="10" applyFont="1" applyBorder="1" applyAlignment="1">
      <alignment vertical="center"/>
    </xf>
    <xf numFmtId="179" fontId="58" fillId="0" borderId="0" xfId="10" applyFont="1" applyBorder="1" applyAlignment="1">
      <alignment horizontal="left" vertical="center"/>
    </xf>
    <xf numFmtId="179" fontId="58" fillId="0" borderId="0" xfId="10" applyFont="1" applyAlignment="1">
      <alignment horizontal="center" vertical="center"/>
    </xf>
    <xf numFmtId="2" fontId="58" fillId="0" borderId="0" xfId="5" applyNumberFormat="1" applyFont="1" applyBorder="1" applyAlignment="1">
      <alignment vertical="center"/>
    </xf>
    <xf numFmtId="179" fontId="61" fillId="0" borderId="0" xfId="28" applyFont="1" applyFill="1" applyBorder="1" applyAlignment="1">
      <alignment vertical="center"/>
    </xf>
    <xf numFmtId="179" fontId="7" fillId="0" borderId="0" xfId="28" applyFont="1" applyAlignment="1">
      <alignment vertical="center"/>
    </xf>
    <xf numFmtId="179" fontId="3" fillId="0" borderId="0" xfId="28"/>
    <xf numFmtId="179" fontId="20" fillId="0" borderId="0" xfId="28" applyFont="1" applyFill="1" applyAlignment="1">
      <alignment vertical="center"/>
    </xf>
    <xf numFmtId="179" fontId="18" fillId="0" borderId="0" xfId="28" applyFont="1" applyAlignment="1">
      <alignment vertical="center"/>
    </xf>
    <xf numFmtId="179" fontId="58" fillId="0" borderId="0" xfId="10" applyNumberFormat="1" applyFont="1" applyAlignment="1">
      <alignment horizontal="left" vertical="center"/>
    </xf>
    <xf numFmtId="179" fontId="57" fillId="0" borderId="0" xfId="10" applyFont="1" applyAlignment="1">
      <alignment horizontal="left" vertical="center"/>
    </xf>
    <xf numFmtId="179" fontId="29" fillId="0" borderId="0" xfId="14" applyFont="1" applyFill="1" applyAlignment="1">
      <alignment vertical="center"/>
    </xf>
    <xf numFmtId="179" fontId="33" fillId="0" borderId="0" xfId="5" applyNumberFormat="1" applyFont="1" applyBorder="1" applyAlignment="1">
      <alignment vertical="center"/>
    </xf>
    <xf numFmtId="179" fontId="6" fillId="0" borderId="10" xfId="5" applyNumberFormat="1" applyFont="1" applyBorder="1" applyAlignment="1">
      <alignment horizontal="center" vertical="center"/>
    </xf>
    <xf numFmtId="179" fontId="64" fillId="0" borderId="0" xfId="5" applyNumberFormat="1" applyFont="1" applyAlignment="1">
      <alignment vertical="center"/>
    </xf>
    <xf numFmtId="179" fontId="64" fillId="0" borderId="10" xfId="5" applyNumberFormat="1" applyFont="1" applyBorder="1" applyAlignment="1">
      <alignment horizontal="center" vertical="center"/>
    </xf>
    <xf numFmtId="179" fontId="64" fillId="0" borderId="1" xfId="5" quotePrefix="1" applyNumberFormat="1" applyFont="1" applyBorder="1" applyAlignment="1">
      <alignment horizontal="center" vertical="center"/>
    </xf>
    <xf numFmtId="179" fontId="64" fillId="0" borderId="5" xfId="5" quotePrefix="1" applyNumberFormat="1" applyFont="1" applyBorder="1" applyAlignment="1">
      <alignment horizontal="center" vertical="center"/>
    </xf>
    <xf numFmtId="179" fontId="64" fillId="0" borderId="17" xfId="5" quotePrefix="1" applyNumberFormat="1" applyFont="1" applyBorder="1" applyAlignment="1">
      <alignment horizontal="center" vertical="center"/>
    </xf>
    <xf numFmtId="174" fontId="64" fillId="0" borderId="10" xfId="5" applyNumberFormat="1" applyFont="1" applyBorder="1" applyAlignment="1">
      <alignment horizontal="center" vertical="center"/>
    </xf>
    <xf numFmtId="179" fontId="58" fillId="19" borderId="0" xfId="5" applyFont="1" applyFill="1" applyBorder="1" applyAlignment="1">
      <alignment horizontal="left" vertical="center"/>
    </xf>
    <xf numFmtId="179" fontId="6" fillId="19" borderId="0" xfId="5" applyFont="1" applyFill="1" applyBorder="1" applyAlignment="1">
      <alignment vertical="center"/>
    </xf>
    <xf numFmtId="179" fontId="21" fillId="0" borderId="0" xfId="19" applyFont="1" applyFill="1" applyAlignment="1" applyProtection="1">
      <protection locked="0"/>
    </xf>
    <xf numFmtId="179" fontId="20" fillId="0" borderId="0" xfId="19" applyFont="1" applyFill="1" applyBorder="1" applyAlignment="1" applyProtection="1">
      <alignment vertical="center"/>
      <protection locked="0"/>
    </xf>
    <xf numFmtId="179" fontId="21" fillId="0" borderId="0" xfId="19" applyFont="1" applyFill="1" applyBorder="1" applyAlignment="1" applyProtection="1">
      <protection locked="0"/>
    </xf>
    <xf numFmtId="179" fontId="20" fillId="0" borderId="0" xfId="19" applyFont="1" applyFill="1" applyAlignment="1" applyProtection="1">
      <alignment vertical="center"/>
      <protection locked="0"/>
    </xf>
    <xf numFmtId="173" fontId="21" fillId="0" borderId="0" xfId="19" applyNumberFormat="1" applyFont="1" applyFill="1" applyBorder="1" applyAlignment="1" applyProtection="1">
      <protection locked="0"/>
    </xf>
    <xf numFmtId="179" fontId="21" fillId="0" borderId="0" xfId="19" applyFont="1" applyFill="1" applyAlignment="1" applyProtection="1">
      <alignment horizontal="center"/>
      <protection locked="0"/>
    </xf>
    <xf numFmtId="179" fontId="21" fillId="0" borderId="0" xfId="19" applyFont="1" applyFill="1" applyAlignment="1" applyProtection="1">
      <alignment horizontal="left"/>
      <protection locked="0"/>
    </xf>
    <xf numFmtId="179" fontId="21" fillId="19" borderId="0" xfId="19" applyFont="1" applyFill="1" applyAlignment="1" applyProtection="1">
      <protection locked="0"/>
    </xf>
    <xf numFmtId="179" fontId="21" fillId="0" borderId="0" xfId="0" applyFont="1" applyFill="1" applyBorder="1" applyAlignment="1" applyProtection="1">
      <protection locked="0"/>
    </xf>
    <xf numFmtId="179" fontId="21" fillId="0" borderId="0" xfId="0" applyFont="1" applyFill="1" applyBorder="1" applyAlignment="1" applyProtection="1">
      <alignment vertical="center"/>
      <protection locked="0"/>
    </xf>
    <xf numFmtId="179" fontId="20" fillId="0" borderId="0" xfId="0" applyFont="1" applyFill="1" applyBorder="1" applyAlignment="1" applyProtection="1">
      <alignment vertical="center"/>
      <protection locked="0"/>
    </xf>
    <xf numFmtId="179" fontId="21" fillId="0" borderId="14" xfId="0" applyFont="1" applyFill="1" applyBorder="1" applyAlignment="1" applyProtection="1">
      <protection locked="0"/>
    </xf>
    <xf numFmtId="179" fontId="21" fillId="0" borderId="0" xfId="0" applyFont="1" applyFill="1" applyAlignment="1" applyProtection="1">
      <alignment vertical="center"/>
      <protection locked="0"/>
    </xf>
    <xf numFmtId="179" fontId="20" fillId="0" borderId="0" xfId="0" applyFont="1" applyFill="1" applyAlignment="1" applyProtection="1">
      <alignment vertical="center"/>
      <protection locked="0"/>
    </xf>
    <xf numFmtId="179" fontId="20" fillId="0" borderId="3" xfId="0" applyFont="1" applyFill="1" applyBorder="1" applyAlignment="1" applyProtection="1">
      <alignment vertical="center"/>
      <protection locked="0"/>
    </xf>
    <xf numFmtId="179" fontId="21" fillId="0" borderId="0" xfId="0" applyFont="1" applyFill="1" applyAlignment="1" applyProtection="1">
      <protection locked="0"/>
    </xf>
    <xf numFmtId="179" fontId="21" fillId="0" borderId="0" xfId="0" applyFont="1" applyFill="1" applyBorder="1" applyAlignment="1" applyProtection="1">
      <alignment horizontal="center"/>
      <protection locked="0"/>
    </xf>
    <xf numFmtId="179" fontId="21" fillId="0" borderId="0" xfId="0" applyFont="1" applyFill="1" applyAlignment="1" applyProtection="1">
      <alignment horizontal="right"/>
      <protection locked="0"/>
    </xf>
    <xf numFmtId="179" fontId="20" fillId="0" borderId="0" xfId="0" applyFont="1" applyFill="1" applyAlignment="1" applyProtection="1">
      <protection locked="0"/>
    </xf>
    <xf numFmtId="179" fontId="21" fillId="0" borderId="0" xfId="0" applyFont="1" applyFill="1" applyBorder="1" applyAlignment="1" applyProtection="1">
      <alignment horizontal="right"/>
      <protection locked="0"/>
    </xf>
    <xf numFmtId="179" fontId="21" fillId="0" borderId="0" xfId="0" applyFont="1" applyFill="1" applyAlignment="1" applyProtection="1">
      <alignment horizontal="left"/>
      <protection locked="0"/>
    </xf>
    <xf numFmtId="179" fontId="21" fillId="19" borderId="0" xfId="0" applyFont="1" applyFill="1" applyAlignment="1" applyProtection="1">
      <protection locked="0"/>
    </xf>
    <xf numFmtId="179" fontId="22" fillId="0" borderId="0" xfId="0" applyFont="1" applyBorder="1" applyAlignment="1" applyProtection="1">
      <alignment horizontal="center"/>
      <protection locked="0"/>
    </xf>
    <xf numFmtId="179" fontId="20" fillId="19" borderId="0" xfId="0" applyFont="1" applyFill="1" applyAlignment="1" applyProtection="1">
      <alignment vertical="center"/>
      <protection locked="0"/>
    </xf>
    <xf numFmtId="179" fontId="21" fillId="0" borderId="12" xfId="0" applyFont="1" applyFill="1" applyBorder="1" applyAlignment="1" applyProtection="1">
      <alignment horizontal="center"/>
      <protection locked="0"/>
    </xf>
    <xf numFmtId="179" fontId="20" fillId="0" borderId="12" xfId="0" applyFont="1" applyFill="1" applyBorder="1" applyAlignment="1" applyProtection="1">
      <alignment vertical="center"/>
      <protection locked="0"/>
    </xf>
    <xf numFmtId="179" fontId="21" fillId="0" borderId="12" xfId="0" applyFont="1" applyFill="1" applyBorder="1" applyAlignment="1" applyProtection="1">
      <protection locked="0"/>
    </xf>
    <xf numFmtId="179" fontId="22" fillId="0" borderId="12" xfId="0" applyFont="1" applyBorder="1" applyAlignment="1" applyProtection="1">
      <alignment horizontal="center"/>
      <protection locked="0"/>
    </xf>
    <xf numFmtId="179" fontId="20" fillId="0" borderId="14" xfId="0" applyFont="1" applyFill="1" applyBorder="1" applyAlignment="1" applyProtection="1">
      <alignment vertical="center"/>
      <protection locked="0"/>
    </xf>
    <xf numFmtId="179" fontId="21" fillId="0" borderId="14" xfId="0" applyFont="1" applyFill="1" applyBorder="1" applyAlignment="1" applyProtection="1">
      <alignment vertical="center"/>
      <protection locked="0"/>
    </xf>
    <xf numFmtId="179" fontId="22" fillId="0" borderId="0" xfId="0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alignment vertical="center"/>
      <protection locked="0"/>
    </xf>
    <xf numFmtId="179" fontId="5" fillId="0" borderId="0" xfId="5" applyNumberFormat="1" applyFont="1" applyBorder="1" applyAlignment="1" applyProtection="1">
      <alignment vertical="center"/>
      <protection locked="0"/>
    </xf>
    <xf numFmtId="179" fontId="6" fillId="0" borderId="0" xfId="10" applyNumberFormat="1" applyFont="1" applyBorder="1" applyAlignment="1" applyProtection="1">
      <alignment vertical="center"/>
      <protection locked="0"/>
    </xf>
    <xf numFmtId="179" fontId="49" fillId="0" borderId="0" xfId="5" applyNumberFormat="1" applyFont="1" applyBorder="1" applyAlignment="1" applyProtection="1">
      <alignment horizontal="right" vertical="center"/>
      <protection locked="0"/>
    </xf>
    <xf numFmtId="179" fontId="5" fillId="0" borderId="0" xfId="10" applyNumberFormat="1" applyFont="1" applyAlignment="1" applyProtection="1">
      <alignment horizontal="left" vertical="center"/>
      <protection locked="0"/>
    </xf>
    <xf numFmtId="179" fontId="5" fillId="0" borderId="0" xfId="10" applyNumberFormat="1" applyFont="1" applyAlignment="1" applyProtection="1">
      <alignment vertical="center"/>
      <protection locked="0"/>
    </xf>
    <xf numFmtId="1" fontId="40" fillId="2" borderId="12" xfId="0" applyNumberFormat="1" applyFont="1" applyFill="1" applyBorder="1" applyAlignment="1" applyProtection="1">
      <alignment vertical="center"/>
      <protection locked="0"/>
    </xf>
    <xf numFmtId="1" fontId="40" fillId="2" borderId="13" xfId="0" applyNumberFormat="1" applyFont="1" applyFill="1" applyBorder="1" applyAlignment="1" applyProtection="1">
      <alignment vertical="center"/>
      <protection locked="0"/>
    </xf>
    <xf numFmtId="179" fontId="6" fillId="0" borderId="0" xfId="5" applyNumberFormat="1" applyFont="1" applyAlignment="1" applyProtection="1">
      <protection locked="0"/>
    </xf>
    <xf numFmtId="179" fontId="6" fillId="0" borderId="0" xfId="13" quotePrefix="1" applyNumberFormat="1" applyFont="1" applyBorder="1" applyAlignment="1" applyProtection="1">
      <alignment horizontal="center" vertical="center"/>
      <protection locked="0"/>
    </xf>
    <xf numFmtId="179" fontId="6" fillId="0" borderId="0" xfId="13" applyNumberFormat="1" applyFont="1" applyBorder="1" applyProtection="1">
      <protection locked="0"/>
    </xf>
    <xf numFmtId="179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179" fontId="55" fillId="14" borderId="0" xfId="0" applyFont="1" applyFill="1" applyBorder="1" applyAlignment="1" applyProtection="1">
      <alignment vertical="center"/>
      <protection locked="0"/>
    </xf>
    <xf numFmtId="179" fontId="6" fillId="0" borderId="0" xfId="0" applyNumberFormat="1" applyFont="1" applyBorder="1" applyAlignment="1" applyProtection="1">
      <alignment vertical="center" shrinkToFit="1"/>
      <protection locked="0"/>
    </xf>
    <xf numFmtId="179" fontId="21" fillId="0" borderId="0" xfId="0" applyFont="1" applyFill="1" applyAlignment="1">
      <alignment vertical="center"/>
    </xf>
    <xf numFmtId="179" fontId="22" fillId="0" borderId="0" xfId="10" applyFont="1" applyBorder="1" applyAlignment="1">
      <alignment vertical="center"/>
    </xf>
    <xf numFmtId="179" fontId="20" fillId="0" borderId="0" xfId="0" applyFont="1" applyFill="1" applyBorder="1" applyAlignment="1">
      <alignment vertical="center"/>
    </xf>
    <xf numFmtId="179" fontId="58" fillId="0" borderId="0" xfId="10" applyNumberFormat="1" applyFont="1" applyAlignment="1">
      <alignment vertical="center"/>
    </xf>
    <xf numFmtId="179" fontId="65" fillId="0" borderId="0" xfId="19" applyFont="1" applyFill="1" applyAlignment="1">
      <alignment vertical="center"/>
    </xf>
    <xf numFmtId="179" fontId="1" fillId="5" borderId="10" xfId="2" applyFont="1" applyFill="1" applyBorder="1" applyAlignment="1">
      <alignment horizontal="center" vertical="center"/>
    </xf>
    <xf numFmtId="179" fontId="68" fillId="0" borderId="10" xfId="2" applyFont="1" applyFill="1" applyBorder="1" applyAlignment="1">
      <alignment horizontal="center" vertical="center"/>
    </xf>
    <xf numFmtId="179" fontId="1" fillId="17" borderId="10" xfId="2" applyFont="1" applyFill="1" applyBorder="1" applyAlignment="1">
      <alignment horizontal="center" vertical="center"/>
    </xf>
    <xf numFmtId="179" fontId="65" fillId="17" borderId="10" xfId="2" applyFont="1" applyFill="1" applyBorder="1" applyAlignment="1">
      <alignment horizontal="center" vertical="center"/>
    </xf>
    <xf numFmtId="179" fontId="1" fillId="17" borderId="1" xfId="2" applyFont="1" applyFill="1" applyBorder="1" applyAlignment="1">
      <alignment horizontal="center" vertical="center"/>
    </xf>
    <xf numFmtId="1" fontId="1" fillId="7" borderId="10" xfId="2" applyNumberFormat="1" applyFont="1" applyFill="1" applyBorder="1" applyAlignment="1">
      <alignment horizontal="center" vertical="center"/>
    </xf>
    <xf numFmtId="1" fontId="69" fillId="10" borderId="10" xfId="2" applyNumberFormat="1" applyFont="1" applyFill="1" applyBorder="1" applyAlignment="1">
      <alignment horizontal="center" vertical="center"/>
    </xf>
    <xf numFmtId="169" fontId="1" fillId="0" borderId="5" xfId="2" applyNumberFormat="1" applyFont="1" applyFill="1" applyBorder="1" applyAlignment="1">
      <alignment horizontal="center" vertical="center"/>
    </xf>
    <xf numFmtId="11" fontId="1" fillId="0" borderId="5" xfId="2" applyNumberFormat="1" applyFont="1" applyFill="1" applyBorder="1" applyAlignment="1">
      <alignment horizontal="center" vertical="center"/>
    </xf>
    <xf numFmtId="168" fontId="1" fillId="0" borderId="10" xfId="2" applyNumberFormat="1" applyFont="1" applyFill="1" applyBorder="1" applyAlignment="1">
      <alignment horizontal="center" vertical="center"/>
    </xf>
    <xf numFmtId="170" fontId="71" fillId="17" borderId="10" xfId="2" applyNumberFormat="1" applyFont="1" applyFill="1" applyBorder="1" applyAlignment="1">
      <alignment horizontal="center" vertical="center"/>
    </xf>
    <xf numFmtId="170" fontId="69" fillId="10" borderId="10" xfId="2" applyNumberFormat="1" applyFont="1" applyFill="1" applyBorder="1" applyAlignment="1">
      <alignment horizontal="center" vertical="center"/>
    </xf>
    <xf numFmtId="169" fontId="1" fillId="0" borderId="10" xfId="2" applyNumberFormat="1" applyFont="1" applyFill="1" applyBorder="1" applyAlignment="1">
      <alignment horizontal="center" vertical="center"/>
    </xf>
    <xf numFmtId="49" fontId="1" fillId="3" borderId="5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169" fontId="68" fillId="0" borderId="10" xfId="2" applyNumberFormat="1" applyFont="1" applyFill="1" applyBorder="1" applyAlignment="1">
      <alignment horizontal="center" vertical="center"/>
    </xf>
    <xf numFmtId="169" fontId="70" fillId="0" borderId="10" xfId="2" applyNumberFormat="1" applyFont="1" applyFill="1" applyBorder="1" applyAlignment="1">
      <alignment horizontal="center" vertical="center"/>
    </xf>
    <xf numFmtId="49" fontId="1" fillId="25" borderId="5" xfId="0" applyNumberFormat="1" applyFont="1" applyFill="1" applyBorder="1" applyAlignment="1">
      <alignment horizontal="center" vertical="center"/>
    </xf>
    <xf numFmtId="49" fontId="2" fillId="0" borderId="10" xfId="2" applyNumberFormat="1" applyFont="1" applyFill="1" applyBorder="1" applyAlignment="1">
      <alignment horizontal="center" vertical="center"/>
    </xf>
    <xf numFmtId="49" fontId="2" fillId="26" borderId="10" xfId="2" applyNumberFormat="1" applyFont="1" applyFill="1" applyBorder="1" applyAlignment="1">
      <alignment horizontal="center" vertical="center"/>
    </xf>
    <xf numFmtId="170" fontId="75" fillId="0" borderId="10" xfId="0" applyNumberFormat="1" applyFont="1" applyBorder="1" applyAlignment="1">
      <alignment horizontal="center"/>
    </xf>
    <xf numFmtId="170" fontId="75" fillId="0" borderId="10" xfId="2" applyNumberFormat="1" applyFont="1" applyFill="1" applyBorder="1" applyAlignment="1">
      <alignment horizontal="center" vertical="center"/>
    </xf>
    <xf numFmtId="170" fontId="76" fillId="0" borderId="10" xfId="2" applyNumberFormat="1" applyFont="1" applyFill="1" applyBorder="1" applyAlignment="1">
      <alignment horizontal="center" vertical="center"/>
    </xf>
    <xf numFmtId="170" fontId="77" fillId="0" borderId="10" xfId="2" applyNumberFormat="1" applyFont="1" applyFill="1" applyBorder="1" applyAlignment="1">
      <alignment horizontal="center" vertical="center"/>
    </xf>
    <xf numFmtId="179" fontId="80" fillId="0" borderId="18" xfId="0" applyFont="1" applyBorder="1" applyAlignment="1">
      <alignment horizontal="center"/>
    </xf>
    <xf numFmtId="179" fontId="80" fillId="0" borderId="18" xfId="0" applyFont="1" applyBorder="1"/>
    <xf numFmtId="179" fontId="80" fillId="0" borderId="19" xfId="0" applyFont="1" applyBorder="1" applyAlignment="1">
      <alignment horizontal="center"/>
    </xf>
    <xf numFmtId="179" fontId="80" fillId="0" borderId="19" xfId="0" applyFont="1" applyBorder="1"/>
    <xf numFmtId="49" fontId="80" fillId="0" borderId="0" xfId="0" applyNumberFormat="1" applyFont="1" applyAlignment="1">
      <alignment horizontal="left"/>
    </xf>
    <xf numFmtId="49" fontId="80" fillId="0" borderId="19" xfId="0" applyNumberFormat="1" applyFont="1" applyBorder="1" applyAlignment="1">
      <alignment horizontal="left"/>
    </xf>
    <xf numFmtId="49" fontId="80" fillId="0" borderId="0" xfId="0" applyNumberFormat="1" applyFont="1" applyAlignment="1">
      <alignment horizontal="center"/>
    </xf>
    <xf numFmtId="49" fontId="80" fillId="0" borderId="0" xfId="0" applyNumberFormat="1" applyFont="1" applyAlignment="1">
      <alignment horizontal="left" vertical="center"/>
    </xf>
    <xf numFmtId="49" fontId="80" fillId="27" borderId="0" xfId="0" applyNumberFormat="1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172" fontId="66" fillId="19" borderId="8" xfId="0" applyNumberFormat="1" applyFont="1" applyFill="1" applyBorder="1" applyAlignment="1" applyProtection="1">
      <alignment horizontal="center" vertical="center"/>
      <protection locked="0"/>
    </xf>
    <xf numFmtId="172" fontId="66" fillId="19" borderId="14" xfId="0" applyNumberFormat="1" applyFont="1" applyFill="1" applyBorder="1" applyAlignment="1" applyProtection="1">
      <alignment horizontal="center" vertical="center"/>
      <protection locked="0"/>
    </xf>
    <xf numFmtId="172" fontId="66" fillId="19" borderId="9" xfId="0" applyNumberFormat="1" applyFont="1" applyFill="1" applyBorder="1" applyAlignment="1" applyProtection="1">
      <alignment horizontal="center" vertical="center"/>
      <protection locked="0"/>
    </xf>
    <xf numFmtId="172" fontId="66" fillId="19" borderId="6" xfId="0" applyNumberFormat="1" applyFont="1" applyFill="1" applyBorder="1" applyAlignment="1" applyProtection="1">
      <alignment horizontal="center" vertical="center"/>
      <protection locked="0"/>
    </xf>
    <xf numFmtId="172" fontId="66" fillId="19" borderId="0" xfId="0" applyNumberFormat="1" applyFont="1" applyFill="1" applyBorder="1" applyAlignment="1" applyProtection="1">
      <alignment horizontal="center" vertical="center"/>
      <protection locked="0"/>
    </xf>
    <xf numFmtId="172" fontId="66" fillId="19" borderId="7" xfId="0" applyNumberFormat="1" applyFont="1" applyFill="1" applyBorder="1" applyAlignment="1" applyProtection="1">
      <alignment horizontal="center" vertical="center"/>
      <protection locked="0"/>
    </xf>
    <xf numFmtId="179" fontId="21" fillId="19" borderId="12" xfId="0" applyFont="1" applyFill="1" applyBorder="1" applyAlignment="1" applyProtection="1">
      <alignment horizontal="left"/>
      <protection locked="0"/>
    </xf>
    <xf numFmtId="179" fontId="21" fillId="19" borderId="14" xfId="0" applyFont="1" applyFill="1" applyBorder="1" applyAlignment="1" applyProtection="1">
      <alignment horizontal="left"/>
      <protection locked="0"/>
    </xf>
    <xf numFmtId="174" fontId="65" fillId="0" borderId="8" xfId="0" applyNumberFormat="1" applyFont="1" applyFill="1" applyBorder="1" applyAlignment="1">
      <alignment horizontal="center" vertical="center"/>
    </xf>
    <xf numFmtId="174" fontId="65" fillId="0" borderId="14" xfId="0" applyNumberFormat="1" applyFont="1" applyFill="1" applyBorder="1" applyAlignment="1">
      <alignment horizontal="center" vertical="center"/>
    </xf>
    <xf numFmtId="49" fontId="65" fillId="20" borderId="2" xfId="0" applyNumberFormat="1" applyFont="1" applyFill="1" applyBorder="1" applyAlignment="1">
      <alignment horizontal="center" vertical="center"/>
    </xf>
    <xf numFmtId="49" fontId="65" fillId="20" borderId="3" xfId="0" applyNumberFormat="1" applyFont="1" applyFill="1" applyBorder="1" applyAlignment="1">
      <alignment horizontal="center" vertical="center"/>
    </xf>
    <xf numFmtId="49" fontId="65" fillId="20" borderId="4" xfId="0" applyNumberFormat="1" applyFont="1" applyFill="1" applyBorder="1" applyAlignment="1">
      <alignment horizontal="center" vertical="center"/>
    </xf>
    <xf numFmtId="174" fontId="65" fillId="20" borderId="5" xfId="0" applyNumberFormat="1" applyFont="1" applyFill="1" applyBorder="1" applyAlignment="1">
      <alignment horizontal="left" vertical="center"/>
    </xf>
    <xf numFmtId="174" fontId="65" fillId="20" borderId="17" xfId="0" applyNumberFormat="1" applyFont="1" applyFill="1" applyBorder="1" applyAlignment="1">
      <alignment horizontal="left" vertical="center"/>
    </xf>
    <xf numFmtId="49" fontId="65" fillId="20" borderId="8" xfId="0" applyNumberFormat="1" applyFont="1" applyFill="1" applyBorder="1" applyAlignment="1">
      <alignment horizontal="center" vertical="center"/>
    </xf>
    <xf numFmtId="49" fontId="65" fillId="20" borderId="14" xfId="0" applyNumberFormat="1" applyFont="1" applyFill="1" applyBorder="1" applyAlignment="1">
      <alignment horizontal="center" vertical="center"/>
    </xf>
    <xf numFmtId="49" fontId="65" fillId="20" borderId="9" xfId="0" applyNumberFormat="1" applyFont="1" applyFill="1" applyBorder="1" applyAlignment="1">
      <alignment horizontal="center" vertical="center"/>
    </xf>
    <xf numFmtId="174" fontId="65" fillId="20" borderId="2" xfId="0" applyNumberFormat="1" applyFont="1" applyFill="1" applyBorder="1" applyAlignment="1">
      <alignment horizontal="left" vertical="center"/>
    </xf>
    <xf numFmtId="174" fontId="65" fillId="20" borderId="3" xfId="0" applyNumberFormat="1" applyFont="1" applyFill="1" applyBorder="1" applyAlignment="1">
      <alignment horizontal="left" vertical="center"/>
    </xf>
    <xf numFmtId="174" fontId="65" fillId="20" borderId="4" xfId="0" applyNumberFormat="1" applyFont="1" applyFill="1" applyBorder="1" applyAlignment="1">
      <alignment horizontal="left" vertical="center"/>
    </xf>
    <xf numFmtId="174" fontId="18" fillId="0" borderId="0" xfId="0" applyNumberFormat="1" applyFont="1" applyFill="1" applyBorder="1" applyAlignment="1">
      <alignment horizontal="center" vertical="center"/>
    </xf>
    <xf numFmtId="14" fontId="21" fillId="0" borderId="14" xfId="0" applyNumberFormat="1" applyFont="1" applyFill="1" applyBorder="1" applyAlignment="1" applyProtection="1">
      <alignment horizontal="left" vertical="center"/>
      <protection locked="0"/>
    </xf>
    <xf numFmtId="179" fontId="18" fillId="0" borderId="0" xfId="0" applyFont="1" applyFill="1" applyAlignment="1">
      <alignment horizontal="right" vertical="center"/>
    </xf>
    <xf numFmtId="179" fontId="19" fillId="0" borderId="0" xfId="0" applyFont="1" applyFill="1" applyBorder="1" applyAlignment="1">
      <alignment horizontal="center" vertical="center"/>
    </xf>
    <xf numFmtId="49" fontId="65" fillId="20" borderId="8" xfId="0" applyNumberFormat="1" applyFont="1" applyFill="1" applyBorder="1" applyAlignment="1">
      <alignment horizontal="center" vertical="top"/>
    </xf>
    <xf numFmtId="49" fontId="65" fillId="20" borderId="14" xfId="0" applyNumberFormat="1" applyFont="1" applyFill="1" applyBorder="1" applyAlignment="1">
      <alignment horizontal="center" vertical="top"/>
    </xf>
    <xf numFmtId="49" fontId="65" fillId="20" borderId="9" xfId="0" applyNumberFormat="1" applyFont="1" applyFill="1" applyBorder="1" applyAlignment="1">
      <alignment horizontal="center" vertical="top"/>
    </xf>
    <xf numFmtId="179" fontId="21" fillId="0" borderId="0" xfId="0" applyFont="1" applyFill="1" applyBorder="1" applyAlignment="1" applyProtection="1">
      <alignment horizontal="center"/>
      <protection locked="0"/>
    </xf>
    <xf numFmtId="179" fontId="21" fillId="0" borderId="3" xfId="0" applyFont="1" applyFill="1" applyBorder="1" applyAlignment="1" applyProtection="1">
      <alignment horizontal="left"/>
      <protection locked="0"/>
    </xf>
    <xf numFmtId="179" fontId="21" fillId="0" borderId="3" xfId="0" applyFont="1" applyFill="1" applyBorder="1" applyAlignment="1" applyProtection="1">
      <alignment horizontal="center"/>
      <protection locked="0"/>
    </xf>
    <xf numFmtId="179" fontId="21" fillId="14" borderId="3" xfId="0" applyFont="1" applyFill="1" applyBorder="1" applyAlignment="1" applyProtection="1">
      <alignment horizontal="left"/>
      <protection locked="0"/>
    </xf>
    <xf numFmtId="179" fontId="21" fillId="19" borderId="14" xfId="19" applyFont="1" applyFill="1" applyBorder="1" applyAlignment="1" applyProtection="1">
      <alignment horizontal="center"/>
      <protection locked="0"/>
    </xf>
    <xf numFmtId="179" fontId="17" fillId="12" borderId="0" xfId="19" applyFont="1" applyFill="1" applyBorder="1" applyAlignment="1" applyProtection="1">
      <alignment horizontal="center" vertical="center"/>
      <protection locked="0"/>
    </xf>
    <xf numFmtId="179" fontId="18" fillId="13" borderId="0" xfId="19" applyFont="1" applyFill="1" applyBorder="1" applyAlignment="1" applyProtection="1">
      <alignment horizontal="center" vertical="center"/>
      <protection locked="0"/>
    </xf>
    <xf numFmtId="179" fontId="27" fillId="15" borderId="0" xfId="19" applyFont="1" applyFill="1" applyBorder="1" applyAlignment="1" applyProtection="1">
      <alignment horizontal="center" vertical="center"/>
      <protection locked="0"/>
    </xf>
    <xf numFmtId="179" fontId="65" fillId="20" borderId="2" xfId="0" applyFont="1" applyFill="1" applyBorder="1" applyAlignment="1">
      <alignment horizontal="center" vertical="center"/>
    </xf>
    <xf numFmtId="179" fontId="65" fillId="20" borderId="3" xfId="0" applyFont="1" applyFill="1" applyBorder="1" applyAlignment="1">
      <alignment horizontal="center" vertical="center"/>
    </xf>
    <xf numFmtId="179" fontId="65" fillId="20" borderId="4" xfId="0" applyFont="1" applyFill="1" applyBorder="1" applyAlignment="1">
      <alignment horizontal="center" vertical="center"/>
    </xf>
    <xf numFmtId="49" fontId="65" fillId="20" borderId="11" xfId="0" applyNumberFormat="1" applyFont="1" applyFill="1" applyBorder="1" applyAlignment="1">
      <alignment horizontal="center" vertical="center"/>
    </xf>
    <xf numFmtId="49" fontId="65" fillId="20" borderId="12" xfId="0" applyNumberFormat="1" applyFont="1" applyFill="1" applyBorder="1" applyAlignment="1">
      <alignment horizontal="center" vertical="center"/>
    </xf>
    <xf numFmtId="49" fontId="65" fillId="20" borderId="13" xfId="0" applyNumberFormat="1" applyFont="1" applyFill="1" applyBorder="1" applyAlignment="1">
      <alignment horizontal="center" vertical="center"/>
    </xf>
    <xf numFmtId="172" fontId="65" fillId="22" borderId="8" xfId="0" applyNumberFormat="1" applyFont="1" applyFill="1" applyBorder="1" applyAlignment="1" applyProtection="1">
      <alignment horizontal="right" vertical="center"/>
    </xf>
    <xf numFmtId="172" fontId="65" fillId="22" borderId="14" xfId="0" applyNumberFormat="1" applyFont="1" applyFill="1" applyBorder="1" applyAlignment="1" applyProtection="1">
      <alignment horizontal="right" vertical="center"/>
    </xf>
    <xf numFmtId="172" fontId="65" fillId="22" borderId="9" xfId="0" applyNumberFormat="1" applyFont="1" applyFill="1" applyBorder="1" applyAlignment="1" applyProtection="1">
      <alignment horizontal="right" vertical="center"/>
    </xf>
    <xf numFmtId="172" fontId="65" fillId="22" borderId="0" xfId="0" applyNumberFormat="1" applyFont="1" applyFill="1" applyBorder="1" applyAlignment="1" applyProtection="1">
      <alignment horizontal="right" vertical="center"/>
    </xf>
    <xf numFmtId="172" fontId="65" fillId="22" borderId="7" xfId="0" applyNumberFormat="1" applyFont="1" applyFill="1" applyBorder="1" applyAlignment="1" applyProtection="1">
      <alignment horizontal="right" vertical="center"/>
    </xf>
    <xf numFmtId="172" fontId="65" fillId="22" borderId="6" xfId="0" applyNumberFormat="1" applyFont="1" applyFill="1" applyBorder="1" applyAlignment="1" applyProtection="1">
      <alignment horizontal="right" vertical="center"/>
    </xf>
    <xf numFmtId="1" fontId="65" fillId="21" borderId="6" xfId="0" applyNumberFormat="1" applyFont="1" applyFill="1" applyBorder="1" applyAlignment="1">
      <alignment horizontal="center" vertical="center"/>
    </xf>
    <xf numFmtId="1" fontId="65" fillId="21" borderId="0" xfId="0" applyNumberFormat="1" applyFont="1" applyFill="1" applyBorder="1" applyAlignment="1">
      <alignment horizontal="center" vertical="center"/>
    </xf>
    <xf numFmtId="1" fontId="65" fillId="21" borderId="7" xfId="0" applyNumberFormat="1" applyFont="1" applyFill="1" applyBorder="1" applyAlignment="1">
      <alignment horizontal="center" vertical="center"/>
    </xf>
    <xf numFmtId="1" fontId="65" fillId="21" borderId="8" xfId="0" applyNumberFormat="1" applyFont="1" applyFill="1" applyBorder="1" applyAlignment="1">
      <alignment horizontal="center" vertical="center"/>
    </xf>
    <xf numFmtId="1" fontId="65" fillId="21" borderId="14" xfId="0" applyNumberFormat="1" applyFont="1" applyFill="1" applyBorder="1" applyAlignment="1">
      <alignment horizontal="center" vertical="center"/>
    </xf>
    <xf numFmtId="1" fontId="65" fillId="21" borderId="9" xfId="0" applyNumberFormat="1" applyFont="1" applyFill="1" applyBorder="1" applyAlignment="1">
      <alignment horizontal="center" vertical="center"/>
    </xf>
    <xf numFmtId="172" fontId="66" fillId="19" borderId="11" xfId="0" applyNumberFormat="1" applyFont="1" applyFill="1" applyBorder="1" applyAlignment="1" applyProtection="1">
      <alignment horizontal="center" vertical="center"/>
      <protection locked="0"/>
    </xf>
    <xf numFmtId="172" fontId="66" fillId="19" borderId="12" xfId="0" applyNumberFormat="1" applyFont="1" applyFill="1" applyBorder="1" applyAlignment="1" applyProtection="1">
      <alignment horizontal="center" vertical="center"/>
      <protection locked="0"/>
    </xf>
    <xf numFmtId="172" fontId="66" fillId="19" borderId="13" xfId="0" applyNumberFormat="1" applyFont="1" applyFill="1" applyBorder="1" applyAlignment="1" applyProtection="1">
      <alignment horizontal="center" vertical="center"/>
      <protection locked="0"/>
    </xf>
    <xf numFmtId="172" fontId="66" fillId="19" borderId="2" xfId="0" applyNumberFormat="1" applyFont="1" applyFill="1" applyBorder="1" applyAlignment="1" applyProtection="1">
      <alignment horizontal="center" vertical="center"/>
      <protection locked="0"/>
    </xf>
    <xf numFmtId="172" fontId="66" fillId="19" borderId="3" xfId="0" applyNumberFormat="1" applyFont="1" applyFill="1" applyBorder="1" applyAlignment="1" applyProtection="1">
      <alignment horizontal="center" vertical="center"/>
      <protection locked="0"/>
    </xf>
    <xf numFmtId="172" fontId="65" fillId="22" borderId="2" xfId="0" applyNumberFormat="1" applyFont="1" applyFill="1" applyBorder="1" applyAlignment="1" applyProtection="1">
      <alignment horizontal="right" vertical="center"/>
    </xf>
    <xf numFmtId="172" fontId="65" fillId="22" borderId="3" xfId="0" applyNumberFormat="1" applyFont="1" applyFill="1" applyBorder="1" applyAlignment="1" applyProtection="1">
      <alignment horizontal="right" vertical="center"/>
    </xf>
    <xf numFmtId="172" fontId="65" fillId="22" borderId="4" xfId="0" applyNumberFormat="1" applyFont="1" applyFill="1" applyBorder="1" applyAlignment="1" applyProtection="1">
      <alignment horizontal="right" vertical="center"/>
    </xf>
    <xf numFmtId="172" fontId="65" fillId="22" borderId="10" xfId="0" applyNumberFormat="1" applyFont="1" applyFill="1" applyBorder="1" applyAlignment="1" applyProtection="1">
      <alignment horizontal="center" vertical="center"/>
    </xf>
    <xf numFmtId="179" fontId="65" fillId="20" borderId="10" xfId="0" applyFont="1" applyFill="1" applyBorder="1" applyAlignment="1">
      <alignment horizontal="center" vertical="center"/>
    </xf>
    <xf numFmtId="179" fontId="56" fillId="0" borderId="0" xfId="10" applyFont="1" applyAlignment="1">
      <alignment horizontal="center" vertical="center"/>
    </xf>
    <xf numFmtId="179" fontId="35" fillId="0" borderId="0" xfId="10" quotePrefix="1" applyFont="1" applyBorder="1" applyAlignment="1">
      <alignment horizontal="center" vertical="center" shrinkToFit="1"/>
    </xf>
    <xf numFmtId="1" fontId="58" fillId="0" borderId="0" xfId="5" quotePrefix="1" applyNumberFormat="1" applyFont="1" applyBorder="1" applyAlignment="1">
      <alignment horizontal="left" vertical="center"/>
    </xf>
    <xf numFmtId="179" fontId="58" fillId="0" borderId="0" xfId="5" quotePrefix="1" applyNumberFormat="1" applyFont="1" applyBorder="1" applyAlignment="1">
      <alignment horizontal="left" vertical="center"/>
    </xf>
    <xf numFmtId="179" fontId="58" fillId="0" borderId="0" xfId="5" applyNumberFormat="1" applyFont="1" applyBorder="1" applyAlignment="1">
      <alignment horizontal="left" vertical="center"/>
    </xf>
    <xf numFmtId="179" fontId="58" fillId="0" borderId="0" xfId="10" applyFont="1" applyBorder="1" applyAlignment="1">
      <alignment horizontal="center" vertical="center"/>
    </xf>
    <xf numFmtId="179" fontId="58" fillId="0" borderId="0" xfId="10" applyFont="1" applyAlignment="1">
      <alignment horizontal="center" vertical="center"/>
    </xf>
    <xf numFmtId="179" fontId="58" fillId="0" borderId="0" xfId="10" applyNumberFormat="1" applyFont="1" applyAlignment="1">
      <alignment horizontal="left" vertical="center"/>
    </xf>
    <xf numFmtId="179" fontId="7" fillId="0" borderId="0" xfId="5" quotePrefix="1" applyNumberFormat="1" applyFont="1" applyBorder="1" applyAlignment="1">
      <alignment horizontal="left" vertical="center"/>
    </xf>
    <xf numFmtId="179" fontId="7" fillId="0" borderId="0" xfId="5" applyNumberFormat="1" applyFont="1" applyBorder="1" applyAlignment="1">
      <alignment horizontal="left" vertical="center"/>
    </xf>
    <xf numFmtId="179" fontId="7" fillId="0" borderId="0" xfId="10" applyNumberFormat="1" applyFont="1" applyBorder="1" applyAlignment="1">
      <alignment horizontal="left" vertical="center"/>
    </xf>
    <xf numFmtId="179" fontId="42" fillId="0" borderId="0" xfId="10" applyFont="1" applyBorder="1" applyAlignment="1">
      <alignment horizontal="right" vertical="center"/>
    </xf>
    <xf numFmtId="179" fontId="7" fillId="0" borderId="0" xfId="10" applyFont="1" applyBorder="1" applyAlignment="1">
      <alignment horizontal="center" vertical="center"/>
    </xf>
    <xf numFmtId="179" fontId="6" fillId="0" borderId="0" xfId="10" applyFont="1" applyBorder="1" applyAlignment="1">
      <alignment horizontal="center" vertical="center"/>
    </xf>
    <xf numFmtId="179" fontId="6" fillId="0" borderId="11" xfId="10" applyFont="1" applyBorder="1" applyAlignment="1">
      <alignment horizontal="center" vertical="center"/>
    </xf>
    <xf numFmtId="179" fontId="6" fillId="0" borderId="12" xfId="10" applyFont="1" applyBorder="1" applyAlignment="1">
      <alignment horizontal="center" vertical="center"/>
    </xf>
    <xf numFmtId="179" fontId="6" fillId="0" borderId="13" xfId="10" applyFont="1" applyBorder="1" applyAlignment="1">
      <alignment horizontal="center" vertical="center"/>
    </xf>
    <xf numFmtId="179" fontId="6" fillId="0" borderId="11" xfId="10" quotePrefix="1" applyFont="1" applyBorder="1" applyAlignment="1">
      <alignment horizontal="center" vertical="center"/>
    </xf>
    <xf numFmtId="179" fontId="6" fillId="0" borderId="12" xfId="10" quotePrefix="1" applyFont="1" applyBorder="1" applyAlignment="1">
      <alignment horizontal="center" vertical="center"/>
    </xf>
    <xf numFmtId="179" fontId="6" fillId="0" borderId="13" xfId="10" quotePrefix="1" applyFont="1" applyBorder="1" applyAlignment="1">
      <alignment horizontal="center" vertical="center"/>
    </xf>
    <xf numFmtId="179" fontId="6" fillId="0" borderId="11" xfId="10" quotePrefix="1" applyNumberFormat="1" applyFont="1" applyBorder="1" applyAlignment="1">
      <alignment horizontal="center" vertical="center"/>
    </xf>
    <xf numFmtId="179" fontId="6" fillId="0" borderId="12" xfId="10" applyNumberFormat="1" applyFont="1" applyBorder="1" applyAlignment="1">
      <alignment horizontal="center" vertical="center"/>
    </xf>
    <xf numFmtId="179" fontId="6" fillId="0" borderId="13" xfId="10" applyNumberFormat="1" applyFont="1" applyBorder="1" applyAlignment="1">
      <alignment horizontal="center" vertical="center"/>
    </xf>
    <xf numFmtId="179" fontId="5" fillId="0" borderId="11" xfId="10" applyFont="1" applyBorder="1" applyAlignment="1">
      <alignment horizontal="center" vertical="center"/>
    </xf>
    <xf numFmtId="179" fontId="5" fillId="0" borderId="12" xfId="10" applyFont="1" applyBorder="1" applyAlignment="1">
      <alignment horizontal="center" vertical="center"/>
    </xf>
    <xf numFmtId="179" fontId="5" fillId="0" borderId="13" xfId="10" applyFont="1" applyBorder="1" applyAlignment="1">
      <alignment horizontal="center" vertical="center"/>
    </xf>
    <xf numFmtId="179" fontId="33" fillId="0" borderId="0" xfId="10" applyFont="1" applyAlignment="1">
      <alignment horizontal="center" vertical="center"/>
    </xf>
    <xf numFmtId="179" fontId="51" fillId="0" borderId="0" xfId="10" applyFont="1" applyAlignment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9" fontId="6" fillId="14" borderId="11" xfId="5" applyNumberFormat="1" applyFont="1" applyFill="1" applyBorder="1" applyAlignment="1">
      <alignment horizontal="center" vertical="center"/>
    </xf>
    <xf numFmtId="179" fontId="6" fillId="14" borderId="12" xfId="5" applyNumberFormat="1" applyFont="1" applyFill="1" applyBorder="1" applyAlignment="1">
      <alignment horizontal="center" vertical="center"/>
    </xf>
    <xf numFmtId="179" fontId="6" fillId="14" borderId="13" xfId="5" applyNumberFormat="1" applyFont="1" applyFill="1" applyBorder="1" applyAlignment="1">
      <alignment horizontal="center" vertical="center"/>
    </xf>
    <xf numFmtId="1" fontId="40" fillId="2" borderId="11" xfId="0" applyNumberFormat="1" applyFont="1" applyFill="1" applyBorder="1" applyAlignment="1" applyProtection="1">
      <alignment horizontal="right" vertical="center"/>
      <protection locked="0"/>
    </xf>
    <xf numFmtId="1" fontId="40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179" fontId="20" fillId="14" borderId="2" xfId="0" applyFont="1" applyFill="1" applyBorder="1" applyAlignment="1" applyProtection="1">
      <alignment horizontal="center" vertical="center" wrapText="1"/>
      <protection locked="0"/>
    </xf>
    <xf numFmtId="179" fontId="20" fillId="14" borderId="3" xfId="0" applyFont="1" applyFill="1" applyBorder="1" applyAlignment="1" applyProtection="1">
      <alignment horizontal="center" vertical="center" wrapText="1"/>
      <protection locked="0"/>
    </xf>
    <xf numFmtId="179" fontId="20" fillId="14" borderId="4" xfId="0" applyFont="1" applyFill="1" applyBorder="1" applyAlignment="1" applyProtection="1">
      <alignment horizontal="center" vertical="center" wrapText="1"/>
      <protection locked="0"/>
    </xf>
    <xf numFmtId="179" fontId="20" fillId="14" borderId="8" xfId="0" applyFont="1" applyFill="1" applyBorder="1" applyAlignment="1" applyProtection="1">
      <alignment horizontal="center" vertical="center" wrapText="1"/>
      <protection locked="0"/>
    </xf>
    <xf numFmtId="179" fontId="20" fillId="14" borderId="14" xfId="0" applyFont="1" applyFill="1" applyBorder="1" applyAlignment="1" applyProtection="1">
      <alignment horizontal="center" vertical="center" wrapText="1"/>
      <protection locked="0"/>
    </xf>
    <xf numFmtId="179" fontId="20" fillId="14" borderId="9" xfId="0" applyFont="1" applyFill="1" applyBorder="1" applyAlignment="1" applyProtection="1">
      <alignment horizontal="center" vertical="center" wrapText="1"/>
      <protection locked="0"/>
    </xf>
    <xf numFmtId="179" fontId="6" fillId="0" borderId="14" xfId="5" applyNumberFormat="1" applyFont="1" applyBorder="1" applyAlignment="1" applyProtection="1">
      <alignment horizontal="right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172" fontId="6" fillId="0" borderId="6" xfId="5" applyNumberFormat="1" applyFont="1" applyBorder="1" applyAlignment="1" applyProtection="1">
      <alignment horizontal="center" vertical="center"/>
      <protection locked="0"/>
    </xf>
    <xf numFmtId="172" fontId="6" fillId="0" borderId="0" xfId="5" applyNumberFormat="1" applyFont="1" applyBorder="1" applyAlignment="1" applyProtection="1">
      <alignment horizontal="center" vertical="center"/>
      <protection locked="0"/>
    </xf>
    <xf numFmtId="172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6" xfId="5" applyNumberFormat="1" applyFont="1" applyBorder="1" applyAlignment="1" applyProtection="1">
      <alignment horizontal="center" vertical="center"/>
      <protection locked="0"/>
    </xf>
    <xf numFmtId="179" fontId="6" fillId="0" borderId="0" xfId="5" applyNumberFormat="1" applyFont="1" applyBorder="1" applyAlignment="1" applyProtection="1">
      <alignment horizontal="center" vertical="center"/>
      <protection locked="0"/>
    </xf>
    <xf numFmtId="179" fontId="6" fillId="0" borderId="7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 wrapText="1"/>
      <protection locked="0"/>
    </xf>
    <xf numFmtId="179" fontId="6" fillId="0" borderId="3" xfId="5" applyNumberFormat="1" applyFont="1" applyBorder="1" applyAlignment="1" applyProtection="1">
      <alignment horizontal="center" vertical="center"/>
      <protection locked="0"/>
    </xf>
    <xf numFmtId="179" fontId="6" fillId="0" borderId="4" xfId="5" applyNumberFormat="1" applyFont="1" applyBorder="1" applyAlignment="1" applyProtection="1">
      <alignment horizontal="center" vertical="center"/>
      <protection locked="0"/>
    </xf>
    <xf numFmtId="179" fontId="6" fillId="0" borderId="8" xfId="5" applyNumberFormat="1" applyFont="1" applyBorder="1" applyAlignment="1" applyProtection="1">
      <alignment horizontal="center" vertical="center"/>
      <protection locked="0"/>
    </xf>
    <xf numFmtId="179" fontId="6" fillId="0" borderId="14" xfId="5" applyNumberFormat="1" applyFont="1" applyBorder="1" applyAlignment="1" applyProtection="1">
      <alignment horizontal="center" vertical="center"/>
      <protection locked="0"/>
    </xf>
    <xf numFmtId="179" fontId="6" fillId="0" borderId="9" xfId="5" applyNumberFormat="1" applyFont="1" applyBorder="1" applyAlignment="1" applyProtection="1">
      <alignment horizontal="center" vertical="center"/>
      <protection locked="0"/>
    </xf>
    <xf numFmtId="179" fontId="6" fillId="0" borderId="2" xfId="5" applyNumberFormat="1" applyFont="1" applyBorder="1" applyAlignment="1" applyProtection="1">
      <alignment horizontal="center" vertical="center"/>
      <protection locked="0"/>
    </xf>
    <xf numFmtId="179" fontId="6" fillId="0" borderId="3" xfId="5" applyNumberFormat="1" applyFont="1" applyBorder="1" applyAlignment="1" applyProtection="1">
      <alignment horizontal="center" vertical="center" wrapText="1"/>
      <protection locked="0"/>
    </xf>
    <xf numFmtId="179" fontId="6" fillId="0" borderId="4" xfId="5" applyNumberFormat="1" applyFont="1" applyBorder="1" applyAlignment="1" applyProtection="1">
      <alignment horizontal="center" vertical="center" wrapText="1"/>
      <protection locked="0"/>
    </xf>
    <xf numFmtId="179" fontId="6" fillId="0" borderId="8" xfId="5" applyNumberFormat="1" applyFont="1" applyBorder="1" applyAlignment="1" applyProtection="1">
      <alignment horizontal="center" vertical="center" wrapText="1"/>
      <protection locked="0"/>
    </xf>
    <xf numFmtId="179" fontId="6" fillId="0" borderId="14" xfId="5" applyNumberFormat="1" applyFont="1" applyBorder="1" applyAlignment="1" applyProtection="1">
      <alignment horizontal="center" vertical="center" wrapText="1"/>
      <protection locked="0"/>
    </xf>
    <xf numFmtId="179" fontId="6" fillId="0" borderId="9" xfId="5" applyNumberFormat="1" applyFont="1" applyBorder="1" applyAlignment="1" applyProtection="1">
      <alignment horizontal="center" vertical="center" wrapText="1"/>
      <protection locked="0"/>
    </xf>
    <xf numFmtId="172" fontId="6" fillId="0" borderId="2" xfId="5" applyNumberFormat="1" applyFont="1" applyBorder="1" applyAlignment="1" applyProtection="1">
      <alignment horizontal="center" vertical="center"/>
      <protection locked="0"/>
    </xf>
    <xf numFmtId="172" fontId="6" fillId="0" borderId="3" xfId="5" applyNumberFormat="1" applyFont="1" applyBorder="1" applyAlignment="1" applyProtection="1">
      <alignment horizontal="center" vertical="center"/>
      <protection locked="0"/>
    </xf>
    <xf numFmtId="172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2" fontId="6" fillId="0" borderId="8" xfId="5" applyNumberFormat="1" applyFont="1" applyBorder="1" applyAlignment="1" applyProtection="1">
      <alignment horizontal="center" vertical="center"/>
      <protection locked="0"/>
    </xf>
    <xf numFmtId="172" fontId="6" fillId="0" borderId="14" xfId="5" applyNumberFormat="1" applyFont="1" applyBorder="1" applyAlignment="1" applyProtection="1">
      <alignment horizontal="center" vertical="center"/>
      <protection locked="0"/>
    </xf>
    <xf numFmtId="172" fontId="6" fillId="0" borderId="9" xfId="5" applyNumberFormat="1" applyFont="1" applyBorder="1" applyAlignment="1" applyProtection="1">
      <alignment horizontal="center" vertical="center"/>
      <protection locked="0"/>
    </xf>
    <xf numFmtId="174" fontId="40" fillId="2" borderId="4" xfId="0" applyNumberFormat="1" applyFont="1" applyFill="1" applyBorder="1" applyAlignment="1" applyProtection="1">
      <alignment horizontal="left" vertical="center"/>
      <protection locked="0"/>
    </xf>
    <xf numFmtId="174" fontId="40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9" fontId="6" fillId="0" borderId="14" xfId="5" applyNumberFormat="1" applyFont="1" applyBorder="1" applyAlignment="1">
      <alignment horizontal="center" vertical="center"/>
    </xf>
    <xf numFmtId="179" fontId="6" fillId="0" borderId="0" xfId="0" applyNumberFormat="1" applyFont="1" applyBorder="1" applyAlignment="1">
      <alignment horizontal="left" vertical="center" shrinkToFit="1"/>
    </xf>
    <xf numFmtId="179" fontId="6" fillId="0" borderId="0" xfId="13" quotePrefix="1" applyNumberFormat="1" applyFont="1" applyBorder="1" applyAlignment="1">
      <alignment horizontal="center" vertical="center"/>
    </xf>
    <xf numFmtId="179" fontId="33" fillId="0" borderId="0" xfId="5" applyNumberFormat="1" applyFont="1" applyBorder="1" applyAlignment="1" applyProtection="1">
      <alignment horizontal="center" vertical="center"/>
      <protection locked="0"/>
    </xf>
    <xf numFmtId="179" fontId="20" fillId="14" borderId="8" xfId="0" applyFont="1" applyFill="1" applyBorder="1" applyAlignment="1" applyProtection="1">
      <alignment horizontal="center" vertical="center"/>
      <protection locked="0"/>
    </xf>
    <xf numFmtId="179" fontId="20" fillId="14" borderId="14" xfId="0" applyFont="1" applyFill="1" applyBorder="1" applyAlignment="1" applyProtection="1">
      <alignment horizontal="center" vertical="center"/>
      <protection locked="0"/>
    </xf>
    <xf numFmtId="179" fontId="20" fillId="14" borderId="9" xfId="0" applyFont="1" applyFill="1" applyBorder="1" applyAlignment="1" applyProtection="1">
      <alignment horizontal="center" vertical="center"/>
      <protection locked="0"/>
    </xf>
    <xf numFmtId="179" fontId="20" fillId="14" borderId="2" xfId="0" applyFont="1" applyFill="1" applyBorder="1" applyAlignment="1" applyProtection="1">
      <alignment horizontal="center" vertical="center"/>
      <protection locked="0"/>
    </xf>
    <xf numFmtId="179" fontId="20" fillId="14" borderId="3" xfId="0" applyFont="1" applyFill="1" applyBorder="1" applyAlignment="1" applyProtection="1">
      <alignment horizontal="center" vertical="center"/>
      <protection locked="0"/>
    </xf>
    <xf numFmtId="179" fontId="20" fillId="14" borderId="4" xfId="0" applyFont="1" applyFill="1" applyBorder="1" applyAlignment="1" applyProtection="1">
      <alignment horizontal="center" vertical="center"/>
      <protection locked="0"/>
    </xf>
    <xf numFmtId="179" fontId="20" fillId="14" borderId="6" xfId="0" applyFont="1" applyFill="1" applyBorder="1" applyAlignment="1" applyProtection="1">
      <alignment horizontal="center" vertical="center"/>
      <protection locked="0"/>
    </xf>
    <xf numFmtId="179" fontId="20" fillId="14" borderId="0" xfId="0" applyFont="1" applyFill="1" applyBorder="1" applyAlignment="1" applyProtection="1">
      <alignment horizontal="center" vertical="center"/>
      <protection locked="0"/>
    </xf>
    <xf numFmtId="179" fontId="20" fillId="14" borderId="7" xfId="0" applyFont="1" applyFill="1" applyBorder="1" applyAlignment="1" applyProtection="1">
      <alignment horizontal="center" vertical="center"/>
      <protection locked="0"/>
    </xf>
    <xf numFmtId="172" fontId="6" fillId="2" borderId="6" xfId="0" applyNumberFormat="1" applyFont="1" applyFill="1" applyBorder="1" applyAlignment="1" applyProtection="1">
      <alignment horizontal="right" vertical="center"/>
      <protection locked="0"/>
    </xf>
    <xf numFmtId="172" fontId="6" fillId="2" borderId="0" xfId="0" applyNumberFormat="1" applyFont="1" applyFill="1" applyBorder="1" applyAlignment="1" applyProtection="1">
      <alignment horizontal="right" vertical="center"/>
      <protection locked="0"/>
    </xf>
    <xf numFmtId="179" fontId="24" fillId="2" borderId="0" xfId="0" applyFont="1" applyFill="1" applyAlignment="1">
      <alignment horizontal="center" vertical="center"/>
    </xf>
    <xf numFmtId="49" fontId="1" fillId="3" borderId="1" xfId="2" applyNumberFormat="1" applyFont="1" applyFill="1" applyBorder="1" applyAlignment="1">
      <alignment horizontal="center" vertical="center"/>
    </xf>
    <xf numFmtId="49" fontId="1" fillId="3" borderId="17" xfId="2" applyNumberFormat="1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1" fillId="4" borderId="3" xfId="2" applyNumberFormat="1" applyFont="1" applyFill="1" applyBorder="1" applyAlignment="1">
      <alignment horizontal="center" vertical="center"/>
    </xf>
    <xf numFmtId="49" fontId="1" fillId="4" borderId="4" xfId="2" applyNumberFormat="1" applyFont="1" applyFill="1" applyBorder="1" applyAlignment="1">
      <alignment horizontal="center" vertical="center"/>
    </xf>
    <xf numFmtId="49" fontId="1" fillId="17" borderId="1" xfId="2" applyNumberFormat="1" applyFont="1" applyFill="1" applyBorder="1" applyAlignment="1">
      <alignment horizontal="center" vertical="center"/>
    </xf>
    <xf numFmtId="49" fontId="1" fillId="17" borderId="17" xfId="2" applyNumberFormat="1" applyFont="1" applyFill="1" applyBorder="1" applyAlignment="1">
      <alignment horizontal="center" vertical="center"/>
    </xf>
    <xf numFmtId="49" fontId="1" fillId="17" borderId="5" xfId="2" applyNumberFormat="1" applyFont="1" applyFill="1" applyBorder="1" applyAlignment="1">
      <alignment horizontal="center" vertical="center"/>
    </xf>
    <xf numFmtId="49" fontId="1" fillId="23" borderId="2" xfId="0" applyNumberFormat="1" applyFont="1" applyFill="1" applyBorder="1" applyAlignment="1">
      <alignment horizontal="center" vertical="center" wrapText="1" shrinkToFit="1"/>
    </xf>
    <xf numFmtId="49" fontId="1" fillId="23" borderId="4" xfId="0" applyNumberFormat="1" applyFont="1" applyFill="1" applyBorder="1" applyAlignment="1">
      <alignment horizontal="center" vertical="center" wrapText="1" shrinkToFit="1"/>
    </xf>
    <xf numFmtId="49" fontId="1" fillId="23" borderId="6" xfId="0" applyNumberFormat="1" applyFont="1" applyFill="1" applyBorder="1" applyAlignment="1">
      <alignment horizontal="center" vertical="center" wrapText="1" shrinkToFit="1"/>
    </xf>
    <xf numFmtId="49" fontId="1" fillId="23" borderId="7" xfId="0" applyNumberFormat="1" applyFont="1" applyFill="1" applyBorder="1" applyAlignment="1">
      <alignment horizontal="center" vertical="center" wrapText="1" shrinkToFit="1"/>
    </xf>
    <xf numFmtId="49" fontId="1" fillId="23" borderId="8" xfId="0" applyNumberFormat="1" applyFont="1" applyFill="1" applyBorder="1" applyAlignment="1">
      <alignment horizontal="center" vertical="center" wrapText="1" shrinkToFit="1"/>
    </xf>
    <xf numFmtId="49" fontId="1" fillId="23" borderId="9" xfId="0" applyNumberFormat="1" applyFont="1" applyFill="1" applyBorder="1" applyAlignment="1">
      <alignment horizontal="center" vertical="center" wrapText="1" shrinkToFit="1"/>
    </xf>
    <xf numFmtId="49" fontId="1" fillId="24" borderId="2" xfId="0" applyNumberFormat="1" applyFont="1" applyFill="1" applyBorder="1" applyAlignment="1">
      <alignment horizontal="center" vertical="center" shrinkToFit="1"/>
    </xf>
    <xf numFmtId="49" fontId="1" fillId="24" borderId="4" xfId="0" applyNumberFormat="1" applyFont="1" applyFill="1" applyBorder="1" applyAlignment="1">
      <alignment horizontal="center" vertical="center" shrinkToFit="1"/>
    </xf>
    <xf numFmtId="49" fontId="1" fillId="24" borderId="6" xfId="0" applyNumberFormat="1" applyFont="1" applyFill="1" applyBorder="1" applyAlignment="1">
      <alignment horizontal="center" vertical="center" shrinkToFit="1"/>
    </xf>
    <xf numFmtId="49" fontId="1" fillId="24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shrinkToFit="1"/>
    </xf>
    <xf numFmtId="49" fontId="1" fillId="24" borderId="9" xfId="0" applyNumberFormat="1" applyFont="1" applyFill="1" applyBorder="1" applyAlignment="1">
      <alignment horizontal="center" vertical="center" shrinkToFit="1"/>
    </xf>
    <xf numFmtId="179" fontId="1" fillId="5" borderId="11" xfId="2" applyFont="1" applyFill="1" applyBorder="1" applyAlignment="1">
      <alignment horizontal="center" vertical="center"/>
    </xf>
    <xf numFmtId="179" fontId="1" fillId="5" borderId="12" xfId="2" applyFont="1" applyFill="1" applyBorder="1" applyAlignment="1">
      <alignment horizontal="center" vertical="center"/>
    </xf>
    <xf numFmtId="179" fontId="1" fillId="5" borderId="13" xfId="2" applyFont="1" applyFill="1" applyBorder="1" applyAlignment="1">
      <alignment horizontal="center" vertical="center"/>
    </xf>
    <xf numFmtId="49" fontId="1" fillId="4" borderId="6" xfId="2" applyNumberFormat="1" applyFont="1" applyFill="1" applyBorder="1" applyAlignment="1">
      <alignment horizontal="center" vertical="center"/>
    </xf>
    <xf numFmtId="49" fontId="1" fillId="4" borderId="0" xfId="2" applyNumberFormat="1" applyFont="1" applyFill="1" applyBorder="1" applyAlignment="1">
      <alignment horizontal="center" vertical="center"/>
    </xf>
    <xf numFmtId="49" fontId="1" fillId="4" borderId="7" xfId="2" applyNumberFormat="1" applyFont="1" applyFill="1" applyBorder="1" applyAlignment="1">
      <alignment horizontal="center" vertical="center"/>
    </xf>
    <xf numFmtId="49" fontId="1" fillId="4" borderId="8" xfId="2" applyNumberFormat="1" applyFont="1" applyFill="1" applyBorder="1" applyAlignment="1">
      <alignment horizontal="center" vertical="center"/>
    </xf>
    <xf numFmtId="49" fontId="1" fillId="4" borderId="14" xfId="2" applyNumberFormat="1" applyFont="1" applyFill="1" applyBorder="1" applyAlignment="1">
      <alignment horizontal="center" vertical="center"/>
    </xf>
    <xf numFmtId="49" fontId="1" fillId="4" borderId="9" xfId="2" applyNumberFormat="1" applyFont="1" applyFill="1" applyBorder="1" applyAlignment="1">
      <alignment horizontal="center" vertical="center"/>
    </xf>
    <xf numFmtId="0" fontId="1" fillId="0" borderId="0" xfId="1" applyNumberFormat="1" applyFont="1" applyAlignment="1">
      <alignment horizontal="center" vertical="center"/>
    </xf>
    <xf numFmtId="0" fontId="65" fillId="0" borderId="0" xfId="0" applyNumberFormat="1" applyFont="1"/>
    <xf numFmtId="0" fontId="1" fillId="0" borderId="0" xfId="2" applyNumberFormat="1" applyFont="1" applyFill="1" applyAlignment="1">
      <alignment horizontal="center" vertical="center"/>
    </xf>
    <xf numFmtId="0" fontId="68" fillId="0" borderId="0" xfId="2" applyNumberFormat="1" applyFont="1" applyFill="1" applyAlignment="1">
      <alignment horizontal="center" vertical="center"/>
    </xf>
    <xf numFmtId="0" fontId="2" fillId="6" borderId="11" xfId="2" applyNumberFormat="1" applyFont="1" applyFill="1" applyBorder="1" applyAlignment="1">
      <alignment horizontal="center" vertical="center"/>
    </xf>
    <xf numFmtId="0" fontId="2" fillId="6" borderId="12" xfId="2" applyNumberFormat="1" applyFont="1" applyFill="1" applyBorder="1" applyAlignment="1">
      <alignment horizontal="center" vertical="center"/>
    </xf>
    <xf numFmtId="0" fontId="2" fillId="6" borderId="13" xfId="2" applyNumberFormat="1" applyFont="1" applyFill="1" applyBorder="1" applyAlignment="1">
      <alignment horizontal="center" vertical="center"/>
    </xf>
    <xf numFmtId="0" fontId="82" fillId="8" borderId="11" xfId="2" applyNumberFormat="1" applyFont="1" applyFill="1" applyBorder="1" applyAlignment="1">
      <alignment horizontal="center" vertical="center"/>
    </xf>
    <xf numFmtId="0" fontId="82" fillId="8" borderId="12" xfId="2" applyNumberFormat="1" applyFont="1" applyFill="1" applyBorder="1" applyAlignment="1">
      <alignment horizontal="center" vertical="center"/>
    </xf>
    <xf numFmtId="0" fontId="82" fillId="8" borderId="13" xfId="2" applyNumberFormat="1" applyFont="1" applyFill="1" applyBorder="1" applyAlignment="1">
      <alignment horizontal="center" vertical="center"/>
    </xf>
    <xf numFmtId="0" fontId="1" fillId="9" borderId="11" xfId="2" applyNumberFormat="1" applyFont="1" applyFill="1" applyBorder="1" applyAlignment="1">
      <alignment horizontal="center" vertical="center"/>
    </xf>
    <xf numFmtId="0" fontId="1" fillId="9" borderId="12" xfId="2" applyNumberFormat="1" applyFont="1" applyFill="1" applyBorder="1" applyAlignment="1">
      <alignment horizontal="center" vertical="center"/>
    </xf>
    <xf numFmtId="0" fontId="1" fillId="9" borderId="13" xfId="2" applyNumberFormat="1" applyFont="1" applyFill="1" applyBorder="1" applyAlignment="1">
      <alignment horizontal="center" vertical="center"/>
    </xf>
    <xf numFmtId="0" fontId="83" fillId="10" borderId="1" xfId="2" applyNumberFormat="1" applyFont="1" applyFill="1" applyBorder="1" applyAlignment="1">
      <alignment vertical="center"/>
    </xf>
    <xf numFmtId="0" fontId="84" fillId="9" borderId="11" xfId="1" applyNumberFormat="1" applyFont="1" applyFill="1" applyBorder="1" applyAlignment="1" applyProtection="1">
      <alignment horizontal="center" vertical="center"/>
      <protection locked="0"/>
    </xf>
    <xf numFmtId="0" fontId="84" fillId="9" borderId="12" xfId="1" applyNumberFormat="1" applyFont="1" applyFill="1" applyBorder="1" applyAlignment="1" applyProtection="1">
      <alignment horizontal="center" vertical="center"/>
      <protection locked="0"/>
    </xf>
    <xf numFmtId="0" fontId="84" fillId="9" borderId="13" xfId="1" applyNumberFormat="1" applyFont="1" applyFill="1" applyBorder="1" applyAlignment="1" applyProtection="1">
      <alignment horizontal="center" vertical="center"/>
      <protection locked="0"/>
    </xf>
    <xf numFmtId="0" fontId="83" fillId="10" borderId="5" xfId="2" applyNumberFormat="1" applyFont="1" applyFill="1" applyBorder="1" applyAlignment="1">
      <alignment vertical="center"/>
    </xf>
    <xf numFmtId="0" fontId="1" fillId="0" borderId="11" xfId="2" applyNumberFormat="1" applyFont="1" applyFill="1" applyBorder="1" applyAlignment="1">
      <alignment horizontal="right" vertical="center"/>
    </xf>
    <xf numFmtId="0" fontId="1" fillId="0" borderId="12" xfId="2" applyNumberFormat="1" applyFont="1" applyFill="1" applyBorder="1" applyAlignment="1">
      <alignment horizontal="left" vertical="center"/>
    </xf>
    <xf numFmtId="0" fontId="1" fillId="11" borderId="11" xfId="2" applyNumberFormat="1" applyFont="1" applyFill="1" applyBorder="1" applyAlignment="1">
      <alignment horizontal="right" vertical="center"/>
    </xf>
    <xf numFmtId="0" fontId="1" fillId="11" borderId="13" xfId="2" applyNumberFormat="1" applyFont="1" applyFill="1" applyBorder="1" applyAlignment="1">
      <alignment horizontal="left" vertical="center"/>
    </xf>
    <xf numFmtId="0" fontId="1" fillId="0" borderId="13" xfId="2" applyNumberFormat="1" applyFont="1" applyFill="1" applyBorder="1" applyAlignment="1">
      <alignment horizontal="left" vertical="center"/>
    </xf>
    <xf numFmtId="0" fontId="1" fillId="0" borderId="10" xfId="2" applyNumberFormat="1" applyFont="1" applyFill="1" applyBorder="1" applyAlignment="1">
      <alignment horizontal="center" vertical="center"/>
    </xf>
    <xf numFmtId="0" fontId="1" fillId="0" borderId="0" xfId="2" applyNumberFormat="1" applyFont="1" applyFill="1" applyBorder="1" applyAlignment="1">
      <alignment horizontal="right" vertical="center"/>
    </xf>
    <xf numFmtId="0" fontId="1" fillId="0" borderId="0" xfId="2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65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14" xfId="0" applyNumberFormat="1" applyFont="1" applyFill="1" applyBorder="1" applyAlignment="1">
      <alignment horizontal="right" vertical="center"/>
    </xf>
    <xf numFmtId="0" fontId="1" fillId="2" borderId="14" xfId="0" applyNumberFormat="1" applyFont="1" applyFill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14" borderId="0" xfId="0" applyNumberFormat="1" applyFont="1" applyFill="1" applyAlignment="1">
      <alignment horizontal="right" vertical="center"/>
    </xf>
    <xf numFmtId="0" fontId="85" fillId="0" borderId="10" xfId="0" applyNumberFormat="1" applyFont="1" applyBorder="1" applyAlignment="1">
      <alignment horizontal="center" vertical="center"/>
    </xf>
    <xf numFmtId="0" fontId="1" fillId="14" borderId="11" xfId="0" applyNumberFormat="1" applyFont="1" applyFill="1" applyBorder="1" applyAlignment="1">
      <alignment horizontal="right" vertical="center"/>
    </xf>
    <xf numFmtId="0" fontId="1" fillId="14" borderId="12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0" borderId="12" xfId="0" applyNumberFormat="1" applyFont="1" applyBorder="1" applyAlignment="1">
      <alignment horizontal="left" vertical="center"/>
    </xf>
    <xf numFmtId="0" fontId="1" fillId="18" borderId="2" xfId="0" applyNumberFormat="1" applyFont="1" applyFill="1" applyBorder="1" applyAlignment="1">
      <alignment horizontal="center" vertical="center"/>
    </xf>
    <xf numFmtId="0" fontId="1" fillId="18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18" borderId="4" xfId="0" applyNumberFormat="1" applyFont="1" applyFill="1" applyBorder="1" applyAlignment="1">
      <alignment horizontal="center" vertical="center"/>
    </xf>
    <xf numFmtId="0" fontId="53" fillId="0" borderId="10" xfId="0" quotePrefix="1" applyNumberFormat="1" applyFont="1" applyBorder="1" applyAlignment="1">
      <alignment horizontal="center" vertical="center"/>
    </xf>
    <xf numFmtId="0" fontId="1" fillId="18" borderId="8" xfId="0" applyNumberFormat="1" applyFont="1" applyFill="1" applyBorder="1" applyAlignment="1">
      <alignment horizontal="center" vertical="center"/>
    </xf>
    <xf numFmtId="0" fontId="1" fillId="18" borderId="14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right" vertical="center"/>
    </xf>
    <xf numFmtId="0" fontId="53" fillId="0" borderId="13" xfId="0" quotePrefix="1" applyNumberFormat="1" applyFont="1" applyBorder="1" applyAlignment="1">
      <alignment horizontal="left" vertical="center"/>
    </xf>
    <xf numFmtId="0" fontId="1" fillId="18" borderId="9" xfId="0" applyNumberFormat="1" applyFont="1" applyFill="1" applyBorder="1" applyAlignment="1">
      <alignment horizontal="center" vertical="center"/>
    </xf>
    <xf numFmtId="0" fontId="54" fillId="0" borderId="10" xfId="0" applyNumberFormat="1" applyFont="1" applyBorder="1" applyAlignment="1">
      <alignment horizontal="center" vertical="center"/>
    </xf>
    <xf numFmtId="0" fontId="53" fillId="0" borderId="0" xfId="0" applyNumberFormat="1" applyFont="1" applyAlignment="1">
      <alignment vertical="center"/>
    </xf>
    <xf numFmtId="0" fontId="53" fillId="0" borderId="0" xfId="0" applyNumberFormat="1" applyFont="1" applyBorder="1" applyAlignment="1">
      <alignment vertical="center"/>
    </xf>
    <xf numFmtId="0" fontId="85" fillId="2" borderId="0" xfId="0" quotePrefix="1" applyNumberFormat="1" applyFont="1" applyFill="1" applyBorder="1" applyAlignment="1">
      <alignment horizontal="center" vertical="center"/>
    </xf>
    <xf numFmtId="0" fontId="85" fillId="2" borderId="0" xfId="0" quotePrefix="1" applyNumberFormat="1" applyFont="1" applyFill="1" applyAlignment="1">
      <alignment horizontal="center" vertical="center"/>
    </xf>
    <xf numFmtId="0" fontId="85" fillId="0" borderId="0" xfId="0" applyNumberFormat="1" applyFont="1" applyAlignment="1">
      <alignment vertical="center"/>
    </xf>
    <xf numFmtId="0" fontId="65" fillId="0" borderId="0" xfId="0" applyNumberFormat="1" applyFont="1" applyBorder="1" applyAlignment="1">
      <alignment vertical="center"/>
    </xf>
    <xf numFmtId="180" fontId="80" fillId="0" borderId="19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2" fontId="65" fillId="0" borderId="0" xfId="0" applyNumberFormat="1" applyFont="1" applyAlignment="1">
      <alignment horizontal="right"/>
    </xf>
    <xf numFmtId="2" fontId="1" fillId="0" borderId="19" xfId="0" applyNumberFormat="1" applyFont="1" applyBorder="1" applyAlignment="1">
      <alignment horizontal="left"/>
    </xf>
    <xf numFmtId="14" fontId="21" fillId="19" borderId="14" xfId="19" applyNumberFormat="1" applyFont="1" applyFill="1" applyBorder="1" applyAlignment="1" applyProtection="1">
      <alignment horizontal="left"/>
      <protection locked="0"/>
    </xf>
    <xf numFmtId="0" fontId="21" fillId="0" borderId="14" xfId="19" applyNumberFormat="1" applyFont="1" applyFill="1" applyBorder="1" applyAlignment="1" applyProtection="1">
      <alignment horizontal="center"/>
      <protection locked="0"/>
    </xf>
    <xf numFmtId="180" fontId="21" fillId="19" borderId="12" xfId="19" applyNumberFormat="1" applyFont="1" applyFill="1" applyBorder="1" applyAlignment="1" applyProtection="1">
      <alignment horizontal="center"/>
      <protection locked="0"/>
    </xf>
    <xf numFmtId="180" fontId="21" fillId="19" borderId="14" xfId="19" applyNumberFormat="1" applyFont="1" applyFill="1" applyBorder="1" applyAlignment="1" applyProtection="1">
      <alignment horizontal="center"/>
      <protection locked="0"/>
    </xf>
    <xf numFmtId="49" fontId="20" fillId="19" borderId="14" xfId="0" applyNumberFormat="1" applyFont="1" applyFill="1" applyBorder="1" applyAlignment="1" applyProtection="1">
      <alignment horizontal="left"/>
      <protection locked="0"/>
    </xf>
    <xf numFmtId="49" fontId="21" fillId="19" borderId="12" xfId="0" applyNumberFormat="1" applyFont="1" applyFill="1" applyBorder="1" applyAlignment="1" applyProtection="1">
      <alignment horizontal="left"/>
      <protection locked="0"/>
    </xf>
    <xf numFmtId="180" fontId="21" fillId="19" borderId="14" xfId="0" applyNumberFormat="1" applyFont="1" applyFill="1" applyBorder="1" applyAlignment="1" applyProtection="1">
      <alignment horizontal="center"/>
      <protection locked="0"/>
    </xf>
    <xf numFmtId="180" fontId="21" fillId="19" borderId="12" xfId="0" applyNumberFormat="1" applyFont="1" applyFill="1" applyBorder="1" applyAlignment="1" applyProtection="1">
      <alignment horizontal="center"/>
      <protection locked="0"/>
    </xf>
    <xf numFmtId="49" fontId="21" fillId="0" borderId="14" xfId="0" applyNumberFormat="1" applyFont="1" applyFill="1" applyBorder="1" applyAlignment="1" applyProtection="1">
      <alignment vertical="center"/>
      <protection locked="0"/>
    </xf>
    <xf numFmtId="49" fontId="22" fillId="0" borderId="14" xfId="10" applyNumberFormat="1" applyFont="1" applyBorder="1" applyAlignment="1">
      <alignment vertical="center"/>
    </xf>
    <xf numFmtId="49" fontId="20" fillId="0" borderId="14" xfId="0" applyNumberFormat="1" applyFont="1" applyFill="1" applyBorder="1" applyAlignment="1">
      <alignment vertical="center"/>
    </xf>
    <xf numFmtId="0" fontId="21" fillId="19" borderId="14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/>
    <xf numFmtId="2" fontId="65" fillId="0" borderId="2" xfId="0" applyNumberFormat="1" applyFont="1" applyFill="1" applyBorder="1" applyAlignment="1">
      <alignment horizontal="center" vertical="center"/>
    </xf>
    <xf numFmtId="2" fontId="65" fillId="0" borderId="3" xfId="0" applyNumberFormat="1" applyFont="1" applyFill="1" applyBorder="1" applyAlignment="1">
      <alignment horizontal="center" vertical="center"/>
    </xf>
    <xf numFmtId="2" fontId="65" fillId="0" borderId="4" xfId="0" applyNumberFormat="1" applyFont="1" applyFill="1" applyBorder="1" applyAlignment="1">
      <alignment horizontal="center" vertical="center"/>
    </xf>
    <xf numFmtId="2" fontId="65" fillId="0" borderId="6" xfId="0" applyNumberFormat="1" applyFont="1" applyFill="1" applyBorder="1" applyAlignment="1">
      <alignment horizontal="center" vertical="center"/>
    </xf>
    <xf numFmtId="2" fontId="65" fillId="0" borderId="0" xfId="0" applyNumberFormat="1" applyFont="1" applyFill="1" applyBorder="1" applyAlignment="1">
      <alignment horizontal="center" vertical="center"/>
    </xf>
    <xf numFmtId="2" fontId="65" fillId="0" borderId="7" xfId="0" applyNumberFormat="1" applyFont="1" applyFill="1" applyBorder="1" applyAlignment="1">
      <alignment horizontal="center" vertical="center"/>
    </xf>
    <xf numFmtId="2" fontId="65" fillId="0" borderId="8" xfId="0" applyNumberFormat="1" applyFont="1" applyFill="1" applyBorder="1" applyAlignment="1">
      <alignment horizontal="center" vertical="center"/>
    </xf>
    <xf numFmtId="2" fontId="65" fillId="0" borderId="14" xfId="0" applyNumberFormat="1" applyFont="1" applyFill="1" applyBorder="1" applyAlignment="1">
      <alignment horizontal="center" vertical="center"/>
    </xf>
    <xf numFmtId="2" fontId="65" fillId="0" borderId="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9525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19050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50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34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37</xdr:row>
          <xdr:rowOff>19050</xdr:rowOff>
        </xdr:from>
        <xdr:to>
          <xdr:col>24</xdr:col>
          <xdr:colOff>57150</xdr:colOff>
          <xdr:row>41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5"/>
  <sheetViews>
    <sheetView view="pageBreakPreview" topLeftCell="A10" zoomScaleNormal="100" zoomScaleSheetLayoutView="100" workbookViewId="0">
      <selection activeCell="D19" sqref="D19:G19"/>
    </sheetView>
  </sheetViews>
  <sheetFormatPr defaultColWidth="7.5703125" defaultRowHeight="18.75" customHeight="1"/>
  <cols>
    <col min="1" max="6" width="3" style="28" customWidth="1"/>
    <col min="7" max="8" width="3.7109375" style="28" customWidth="1"/>
    <col min="9" max="31" width="3" style="28" customWidth="1"/>
    <col min="32" max="50" width="2.85546875" style="28" customWidth="1"/>
    <col min="51" max="176" width="7.5703125" style="28"/>
    <col min="177" max="177" width="1.5703125" style="28" customWidth="1"/>
    <col min="178" max="181" width="3.5703125" style="28" customWidth="1"/>
    <col min="182" max="185" width="5.42578125" style="28" customWidth="1"/>
    <col min="186" max="201" width="4" style="28" customWidth="1"/>
    <col min="202" max="203" width="3.42578125" style="28" customWidth="1"/>
    <col min="204" max="241" width="3.5703125" style="28" customWidth="1"/>
    <col min="242" max="432" width="7.5703125" style="28"/>
    <col min="433" max="433" width="1.5703125" style="28" customWidth="1"/>
    <col min="434" max="437" width="3.5703125" style="28" customWidth="1"/>
    <col min="438" max="441" width="5.42578125" style="28" customWidth="1"/>
    <col min="442" max="457" width="4" style="28" customWidth="1"/>
    <col min="458" max="459" width="3.42578125" style="28" customWidth="1"/>
    <col min="460" max="497" width="3.5703125" style="28" customWidth="1"/>
    <col min="498" max="688" width="7.5703125" style="28"/>
    <col min="689" max="689" width="1.5703125" style="28" customWidth="1"/>
    <col min="690" max="693" width="3.5703125" style="28" customWidth="1"/>
    <col min="694" max="697" width="5.42578125" style="28" customWidth="1"/>
    <col min="698" max="713" width="4" style="28" customWidth="1"/>
    <col min="714" max="715" width="3.42578125" style="28" customWidth="1"/>
    <col min="716" max="753" width="3.5703125" style="28" customWidth="1"/>
    <col min="754" max="944" width="7.5703125" style="28"/>
    <col min="945" max="945" width="1.5703125" style="28" customWidth="1"/>
    <col min="946" max="949" width="3.5703125" style="28" customWidth="1"/>
    <col min="950" max="953" width="5.42578125" style="28" customWidth="1"/>
    <col min="954" max="969" width="4" style="28" customWidth="1"/>
    <col min="970" max="971" width="3.42578125" style="28" customWidth="1"/>
    <col min="972" max="1009" width="3.5703125" style="28" customWidth="1"/>
    <col min="1010" max="1200" width="7.5703125" style="28"/>
    <col min="1201" max="1201" width="1.5703125" style="28" customWidth="1"/>
    <col min="1202" max="1205" width="3.5703125" style="28" customWidth="1"/>
    <col min="1206" max="1209" width="5.42578125" style="28" customWidth="1"/>
    <col min="1210" max="1225" width="4" style="28" customWidth="1"/>
    <col min="1226" max="1227" width="3.42578125" style="28" customWidth="1"/>
    <col min="1228" max="1265" width="3.5703125" style="28" customWidth="1"/>
    <col min="1266" max="1456" width="7.5703125" style="28"/>
    <col min="1457" max="1457" width="1.5703125" style="28" customWidth="1"/>
    <col min="1458" max="1461" width="3.5703125" style="28" customWidth="1"/>
    <col min="1462" max="1465" width="5.42578125" style="28" customWidth="1"/>
    <col min="1466" max="1481" width="4" style="28" customWidth="1"/>
    <col min="1482" max="1483" width="3.42578125" style="28" customWidth="1"/>
    <col min="1484" max="1521" width="3.5703125" style="28" customWidth="1"/>
    <col min="1522" max="1712" width="7.5703125" style="28"/>
    <col min="1713" max="1713" width="1.5703125" style="28" customWidth="1"/>
    <col min="1714" max="1717" width="3.5703125" style="28" customWidth="1"/>
    <col min="1718" max="1721" width="5.42578125" style="28" customWidth="1"/>
    <col min="1722" max="1737" width="4" style="28" customWidth="1"/>
    <col min="1738" max="1739" width="3.42578125" style="28" customWidth="1"/>
    <col min="1740" max="1777" width="3.5703125" style="28" customWidth="1"/>
    <col min="1778" max="1968" width="7.5703125" style="28"/>
    <col min="1969" max="1969" width="1.5703125" style="28" customWidth="1"/>
    <col min="1970" max="1973" width="3.5703125" style="28" customWidth="1"/>
    <col min="1974" max="1977" width="5.42578125" style="28" customWidth="1"/>
    <col min="1978" max="1993" width="4" style="28" customWidth="1"/>
    <col min="1994" max="1995" width="3.42578125" style="28" customWidth="1"/>
    <col min="1996" max="2033" width="3.5703125" style="28" customWidth="1"/>
    <col min="2034" max="2224" width="7.5703125" style="28"/>
    <col min="2225" max="2225" width="1.5703125" style="28" customWidth="1"/>
    <col min="2226" max="2229" width="3.5703125" style="28" customWidth="1"/>
    <col min="2230" max="2233" width="5.42578125" style="28" customWidth="1"/>
    <col min="2234" max="2249" width="4" style="28" customWidth="1"/>
    <col min="2250" max="2251" width="3.42578125" style="28" customWidth="1"/>
    <col min="2252" max="2289" width="3.5703125" style="28" customWidth="1"/>
    <col min="2290" max="2480" width="7.5703125" style="28"/>
    <col min="2481" max="2481" width="1.5703125" style="28" customWidth="1"/>
    <col min="2482" max="2485" width="3.5703125" style="28" customWidth="1"/>
    <col min="2486" max="2489" width="5.42578125" style="28" customWidth="1"/>
    <col min="2490" max="2505" width="4" style="28" customWidth="1"/>
    <col min="2506" max="2507" width="3.42578125" style="28" customWidth="1"/>
    <col min="2508" max="2545" width="3.5703125" style="28" customWidth="1"/>
    <col min="2546" max="2736" width="7.5703125" style="28"/>
    <col min="2737" max="2737" width="1.5703125" style="28" customWidth="1"/>
    <col min="2738" max="2741" width="3.5703125" style="28" customWidth="1"/>
    <col min="2742" max="2745" width="5.42578125" style="28" customWidth="1"/>
    <col min="2746" max="2761" width="4" style="28" customWidth="1"/>
    <col min="2762" max="2763" width="3.42578125" style="28" customWidth="1"/>
    <col min="2764" max="2801" width="3.5703125" style="28" customWidth="1"/>
    <col min="2802" max="2992" width="7.5703125" style="28"/>
    <col min="2993" max="2993" width="1.5703125" style="28" customWidth="1"/>
    <col min="2994" max="2997" width="3.5703125" style="28" customWidth="1"/>
    <col min="2998" max="3001" width="5.42578125" style="28" customWidth="1"/>
    <col min="3002" max="3017" width="4" style="28" customWidth="1"/>
    <col min="3018" max="3019" width="3.42578125" style="28" customWidth="1"/>
    <col min="3020" max="3057" width="3.5703125" style="28" customWidth="1"/>
    <col min="3058" max="3248" width="7.5703125" style="28"/>
    <col min="3249" max="3249" width="1.5703125" style="28" customWidth="1"/>
    <col min="3250" max="3253" width="3.5703125" style="28" customWidth="1"/>
    <col min="3254" max="3257" width="5.42578125" style="28" customWidth="1"/>
    <col min="3258" max="3273" width="4" style="28" customWidth="1"/>
    <col min="3274" max="3275" width="3.42578125" style="28" customWidth="1"/>
    <col min="3276" max="3313" width="3.5703125" style="28" customWidth="1"/>
    <col min="3314" max="3504" width="7.5703125" style="28"/>
    <col min="3505" max="3505" width="1.5703125" style="28" customWidth="1"/>
    <col min="3506" max="3509" width="3.5703125" style="28" customWidth="1"/>
    <col min="3510" max="3513" width="5.42578125" style="28" customWidth="1"/>
    <col min="3514" max="3529" width="4" style="28" customWidth="1"/>
    <col min="3530" max="3531" width="3.42578125" style="28" customWidth="1"/>
    <col min="3532" max="3569" width="3.5703125" style="28" customWidth="1"/>
    <col min="3570" max="3760" width="7.5703125" style="28"/>
    <col min="3761" max="3761" width="1.5703125" style="28" customWidth="1"/>
    <col min="3762" max="3765" width="3.5703125" style="28" customWidth="1"/>
    <col min="3766" max="3769" width="5.42578125" style="28" customWidth="1"/>
    <col min="3770" max="3785" width="4" style="28" customWidth="1"/>
    <col min="3786" max="3787" width="3.42578125" style="28" customWidth="1"/>
    <col min="3788" max="3825" width="3.5703125" style="28" customWidth="1"/>
    <col min="3826" max="4016" width="7.5703125" style="28"/>
    <col min="4017" max="4017" width="1.5703125" style="28" customWidth="1"/>
    <col min="4018" max="4021" width="3.5703125" style="28" customWidth="1"/>
    <col min="4022" max="4025" width="5.42578125" style="28" customWidth="1"/>
    <col min="4026" max="4041" width="4" style="28" customWidth="1"/>
    <col min="4042" max="4043" width="3.42578125" style="28" customWidth="1"/>
    <col min="4044" max="4081" width="3.5703125" style="28" customWidth="1"/>
    <col min="4082" max="4272" width="7.5703125" style="28"/>
    <col min="4273" max="4273" width="1.5703125" style="28" customWidth="1"/>
    <col min="4274" max="4277" width="3.5703125" style="28" customWidth="1"/>
    <col min="4278" max="4281" width="5.42578125" style="28" customWidth="1"/>
    <col min="4282" max="4297" width="4" style="28" customWidth="1"/>
    <col min="4298" max="4299" width="3.42578125" style="28" customWidth="1"/>
    <col min="4300" max="4337" width="3.5703125" style="28" customWidth="1"/>
    <col min="4338" max="4528" width="7.5703125" style="28"/>
    <col min="4529" max="4529" width="1.5703125" style="28" customWidth="1"/>
    <col min="4530" max="4533" width="3.5703125" style="28" customWidth="1"/>
    <col min="4534" max="4537" width="5.42578125" style="28" customWidth="1"/>
    <col min="4538" max="4553" width="4" style="28" customWidth="1"/>
    <col min="4554" max="4555" width="3.42578125" style="28" customWidth="1"/>
    <col min="4556" max="4593" width="3.5703125" style="28" customWidth="1"/>
    <col min="4594" max="4784" width="7.5703125" style="28"/>
    <col min="4785" max="4785" width="1.5703125" style="28" customWidth="1"/>
    <col min="4786" max="4789" width="3.5703125" style="28" customWidth="1"/>
    <col min="4790" max="4793" width="5.42578125" style="28" customWidth="1"/>
    <col min="4794" max="4809" width="4" style="28" customWidth="1"/>
    <col min="4810" max="4811" width="3.42578125" style="28" customWidth="1"/>
    <col min="4812" max="4849" width="3.5703125" style="28" customWidth="1"/>
    <col min="4850" max="5040" width="7.5703125" style="28"/>
    <col min="5041" max="5041" width="1.5703125" style="28" customWidth="1"/>
    <col min="5042" max="5045" width="3.5703125" style="28" customWidth="1"/>
    <col min="5046" max="5049" width="5.42578125" style="28" customWidth="1"/>
    <col min="5050" max="5065" width="4" style="28" customWidth="1"/>
    <col min="5066" max="5067" width="3.42578125" style="28" customWidth="1"/>
    <col min="5068" max="5105" width="3.5703125" style="28" customWidth="1"/>
    <col min="5106" max="5296" width="7.5703125" style="28"/>
    <col min="5297" max="5297" width="1.5703125" style="28" customWidth="1"/>
    <col min="5298" max="5301" width="3.5703125" style="28" customWidth="1"/>
    <col min="5302" max="5305" width="5.42578125" style="28" customWidth="1"/>
    <col min="5306" max="5321" width="4" style="28" customWidth="1"/>
    <col min="5322" max="5323" width="3.42578125" style="28" customWidth="1"/>
    <col min="5324" max="5361" width="3.5703125" style="28" customWidth="1"/>
    <col min="5362" max="5552" width="7.5703125" style="28"/>
    <col min="5553" max="5553" width="1.5703125" style="28" customWidth="1"/>
    <col min="5554" max="5557" width="3.5703125" style="28" customWidth="1"/>
    <col min="5558" max="5561" width="5.42578125" style="28" customWidth="1"/>
    <col min="5562" max="5577" width="4" style="28" customWidth="1"/>
    <col min="5578" max="5579" width="3.42578125" style="28" customWidth="1"/>
    <col min="5580" max="5617" width="3.5703125" style="28" customWidth="1"/>
    <col min="5618" max="5808" width="7.5703125" style="28"/>
    <col min="5809" max="5809" width="1.5703125" style="28" customWidth="1"/>
    <col min="5810" max="5813" width="3.5703125" style="28" customWidth="1"/>
    <col min="5814" max="5817" width="5.42578125" style="28" customWidth="1"/>
    <col min="5818" max="5833" width="4" style="28" customWidth="1"/>
    <col min="5834" max="5835" width="3.42578125" style="28" customWidth="1"/>
    <col min="5836" max="5873" width="3.5703125" style="28" customWidth="1"/>
    <col min="5874" max="6064" width="7.5703125" style="28"/>
    <col min="6065" max="6065" width="1.5703125" style="28" customWidth="1"/>
    <col min="6066" max="6069" width="3.5703125" style="28" customWidth="1"/>
    <col min="6070" max="6073" width="5.42578125" style="28" customWidth="1"/>
    <col min="6074" max="6089" width="4" style="28" customWidth="1"/>
    <col min="6090" max="6091" width="3.42578125" style="28" customWidth="1"/>
    <col min="6092" max="6129" width="3.5703125" style="28" customWidth="1"/>
    <col min="6130" max="6320" width="7.5703125" style="28"/>
    <col min="6321" max="6321" width="1.5703125" style="28" customWidth="1"/>
    <col min="6322" max="6325" width="3.5703125" style="28" customWidth="1"/>
    <col min="6326" max="6329" width="5.42578125" style="28" customWidth="1"/>
    <col min="6330" max="6345" width="4" style="28" customWidth="1"/>
    <col min="6346" max="6347" width="3.42578125" style="28" customWidth="1"/>
    <col min="6348" max="6385" width="3.5703125" style="28" customWidth="1"/>
    <col min="6386" max="6576" width="7.5703125" style="28"/>
    <col min="6577" max="6577" width="1.5703125" style="28" customWidth="1"/>
    <col min="6578" max="6581" width="3.5703125" style="28" customWidth="1"/>
    <col min="6582" max="6585" width="5.42578125" style="28" customWidth="1"/>
    <col min="6586" max="6601" width="4" style="28" customWidth="1"/>
    <col min="6602" max="6603" width="3.42578125" style="28" customWidth="1"/>
    <col min="6604" max="6641" width="3.5703125" style="28" customWidth="1"/>
    <col min="6642" max="6832" width="7.5703125" style="28"/>
    <col min="6833" max="6833" width="1.5703125" style="28" customWidth="1"/>
    <col min="6834" max="6837" width="3.5703125" style="28" customWidth="1"/>
    <col min="6838" max="6841" width="5.42578125" style="28" customWidth="1"/>
    <col min="6842" max="6857" width="4" style="28" customWidth="1"/>
    <col min="6858" max="6859" width="3.42578125" style="28" customWidth="1"/>
    <col min="6860" max="6897" width="3.5703125" style="28" customWidth="1"/>
    <col min="6898" max="7088" width="7.5703125" style="28"/>
    <col min="7089" max="7089" width="1.5703125" style="28" customWidth="1"/>
    <col min="7090" max="7093" width="3.5703125" style="28" customWidth="1"/>
    <col min="7094" max="7097" width="5.42578125" style="28" customWidth="1"/>
    <col min="7098" max="7113" width="4" style="28" customWidth="1"/>
    <col min="7114" max="7115" width="3.42578125" style="28" customWidth="1"/>
    <col min="7116" max="7153" width="3.5703125" style="28" customWidth="1"/>
    <col min="7154" max="7344" width="7.5703125" style="28"/>
    <col min="7345" max="7345" width="1.5703125" style="28" customWidth="1"/>
    <col min="7346" max="7349" width="3.5703125" style="28" customWidth="1"/>
    <col min="7350" max="7353" width="5.42578125" style="28" customWidth="1"/>
    <col min="7354" max="7369" width="4" style="28" customWidth="1"/>
    <col min="7370" max="7371" width="3.42578125" style="28" customWidth="1"/>
    <col min="7372" max="7409" width="3.5703125" style="28" customWidth="1"/>
    <col min="7410" max="7600" width="7.5703125" style="28"/>
    <col min="7601" max="7601" width="1.5703125" style="28" customWidth="1"/>
    <col min="7602" max="7605" width="3.5703125" style="28" customWidth="1"/>
    <col min="7606" max="7609" width="5.42578125" style="28" customWidth="1"/>
    <col min="7610" max="7625" width="4" style="28" customWidth="1"/>
    <col min="7626" max="7627" width="3.42578125" style="28" customWidth="1"/>
    <col min="7628" max="7665" width="3.5703125" style="28" customWidth="1"/>
    <col min="7666" max="7856" width="7.5703125" style="28"/>
    <col min="7857" max="7857" width="1.5703125" style="28" customWidth="1"/>
    <col min="7858" max="7861" width="3.5703125" style="28" customWidth="1"/>
    <col min="7862" max="7865" width="5.42578125" style="28" customWidth="1"/>
    <col min="7866" max="7881" width="4" style="28" customWidth="1"/>
    <col min="7882" max="7883" width="3.42578125" style="28" customWidth="1"/>
    <col min="7884" max="7921" width="3.5703125" style="28" customWidth="1"/>
    <col min="7922" max="8112" width="7.5703125" style="28"/>
    <col min="8113" max="8113" width="1.5703125" style="28" customWidth="1"/>
    <col min="8114" max="8117" width="3.5703125" style="28" customWidth="1"/>
    <col min="8118" max="8121" width="5.42578125" style="28" customWidth="1"/>
    <col min="8122" max="8137" width="4" style="28" customWidth="1"/>
    <col min="8138" max="8139" width="3.42578125" style="28" customWidth="1"/>
    <col min="8140" max="8177" width="3.5703125" style="28" customWidth="1"/>
    <col min="8178" max="8368" width="7.5703125" style="28"/>
    <col min="8369" max="8369" width="1.5703125" style="28" customWidth="1"/>
    <col min="8370" max="8373" width="3.5703125" style="28" customWidth="1"/>
    <col min="8374" max="8377" width="5.42578125" style="28" customWidth="1"/>
    <col min="8378" max="8393" width="4" style="28" customWidth="1"/>
    <col min="8394" max="8395" width="3.42578125" style="28" customWidth="1"/>
    <col min="8396" max="8433" width="3.5703125" style="28" customWidth="1"/>
    <col min="8434" max="8624" width="7.5703125" style="28"/>
    <col min="8625" max="8625" width="1.5703125" style="28" customWidth="1"/>
    <col min="8626" max="8629" width="3.5703125" style="28" customWidth="1"/>
    <col min="8630" max="8633" width="5.42578125" style="28" customWidth="1"/>
    <col min="8634" max="8649" width="4" style="28" customWidth="1"/>
    <col min="8650" max="8651" width="3.42578125" style="28" customWidth="1"/>
    <col min="8652" max="8689" width="3.5703125" style="28" customWidth="1"/>
    <col min="8690" max="8880" width="7.5703125" style="28"/>
    <col min="8881" max="8881" width="1.5703125" style="28" customWidth="1"/>
    <col min="8882" max="8885" width="3.5703125" style="28" customWidth="1"/>
    <col min="8886" max="8889" width="5.42578125" style="28" customWidth="1"/>
    <col min="8890" max="8905" width="4" style="28" customWidth="1"/>
    <col min="8906" max="8907" width="3.42578125" style="28" customWidth="1"/>
    <col min="8908" max="8945" width="3.5703125" style="28" customWidth="1"/>
    <col min="8946" max="9136" width="7.5703125" style="28"/>
    <col min="9137" max="9137" width="1.5703125" style="28" customWidth="1"/>
    <col min="9138" max="9141" width="3.5703125" style="28" customWidth="1"/>
    <col min="9142" max="9145" width="5.42578125" style="28" customWidth="1"/>
    <col min="9146" max="9161" width="4" style="28" customWidth="1"/>
    <col min="9162" max="9163" width="3.42578125" style="28" customWidth="1"/>
    <col min="9164" max="9201" width="3.5703125" style="28" customWidth="1"/>
    <col min="9202" max="9392" width="7.5703125" style="28"/>
    <col min="9393" max="9393" width="1.5703125" style="28" customWidth="1"/>
    <col min="9394" max="9397" width="3.5703125" style="28" customWidth="1"/>
    <col min="9398" max="9401" width="5.42578125" style="28" customWidth="1"/>
    <col min="9402" max="9417" width="4" style="28" customWidth="1"/>
    <col min="9418" max="9419" width="3.42578125" style="28" customWidth="1"/>
    <col min="9420" max="9457" width="3.5703125" style="28" customWidth="1"/>
    <col min="9458" max="9648" width="7.5703125" style="28"/>
    <col min="9649" max="9649" width="1.5703125" style="28" customWidth="1"/>
    <col min="9650" max="9653" width="3.5703125" style="28" customWidth="1"/>
    <col min="9654" max="9657" width="5.42578125" style="28" customWidth="1"/>
    <col min="9658" max="9673" width="4" style="28" customWidth="1"/>
    <col min="9674" max="9675" width="3.42578125" style="28" customWidth="1"/>
    <col min="9676" max="9713" width="3.5703125" style="28" customWidth="1"/>
    <col min="9714" max="9904" width="7.5703125" style="28"/>
    <col min="9905" max="9905" width="1.5703125" style="28" customWidth="1"/>
    <col min="9906" max="9909" width="3.5703125" style="28" customWidth="1"/>
    <col min="9910" max="9913" width="5.42578125" style="28" customWidth="1"/>
    <col min="9914" max="9929" width="4" style="28" customWidth="1"/>
    <col min="9930" max="9931" width="3.42578125" style="28" customWidth="1"/>
    <col min="9932" max="9969" width="3.5703125" style="28" customWidth="1"/>
    <col min="9970" max="10160" width="7.5703125" style="28"/>
    <col min="10161" max="10161" width="1.5703125" style="28" customWidth="1"/>
    <col min="10162" max="10165" width="3.5703125" style="28" customWidth="1"/>
    <col min="10166" max="10169" width="5.42578125" style="28" customWidth="1"/>
    <col min="10170" max="10185" width="4" style="28" customWidth="1"/>
    <col min="10186" max="10187" width="3.42578125" style="28" customWidth="1"/>
    <col min="10188" max="10225" width="3.5703125" style="28" customWidth="1"/>
    <col min="10226" max="10416" width="7.5703125" style="28"/>
    <col min="10417" max="10417" width="1.5703125" style="28" customWidth="1"/>
    <col min="10418" max="10421" width="3.5703125" style="28" customWidth="1"/>
    <col min="10422" max="10425" width="5.42578125" style="28" customWidth="1"/>
    <col min="10426" max="10441" width="4" style="28" customWidth="1"/>
    <col min="10442" max="10443" width="3.42578125" style="28" customWidth="1"/>
    <col min="10444" max="10481" width="3.5703125" style="28" customWidth="1"/>
    <col min="10482" max="10672" width="7.5703125" style="28"/>
    <col min="10673" max="10673" width="1.5703125" style="28" customWidth="1"/>
    <col min="10674" max="10677" width="3.5703125" style="28" customWidth="1"/>
    <col min="10678" max="10681" width="5.42578125" style="28" customWidth="1"/>
    <col min="10682" max="10697" width="4" style="28" customWidth="1"/>
    <col min="10698" max="10699" width="3.42578125" style="28" customWidth="1"/>
    <col min="10700" max="10737" width="3.5703125" style="28" customWidth="1"/>
    <col min="10738" max="10928" width="7.5703125" style="28"/>
    <col min="10929" max="10929" width="1.5703125" style="28" customWidth="1"/>
    <col min="10930" max="10933" width="3.5703125" style="28" customWidth="1"/>
    <col min="10934" max="10937" width="5.42578125" style="28" customWidth="1"/>
    <col min="10938" max="10953" width="4" style="28" customWidth="1"/>
    <col min="10954" max="10955" width="3.42578125" style="28" customWidth="1"/>
    <col min="10956" max="10993" width="3.5703125" style="28" customWidth="1"/>
    <col min="10994" max="11184" width="7.5703125" style="28"/>
    <col min="11185" max="11185" width="1.5703125" style="28" customWidth="1"/>
    <col min="11186" max="11189" width="3.5703125" style="28" customWidth="1"/>
    <col min="11190" max="11193" width="5.42578125" style="28" customWidth="1"/>
    <col min="11194" max="11209" width="4" style="28" customWidth="1"/>
    <col min="11210" max="11211" width="3.42578125" style="28" customWidth="1"/>
    <col min="11212" max="11249" width="3.5703125" style="28" customWidth="1"/>
    <col min="11250" max="11440" width="7.5703125" style="28"/>
    <col min="11441" max="11441" width="1.5703125" style="28" customWidth="1"/>
    <col min="11442" max="11445" width="3.5703125" style="28" customWidth="1"/>
    <col min="11446" max="11449" width="5.42578125" style="28" customWidth="1"/>
    <col min="11450" max="11465" width="4" style="28" customWidth="1"/>
    <col min="11466" max="11467" width="3.42578125" style="28" customWidth="1"/>
    <col min="11468" max="11505" width="3.5703125" style="28" customWidth="1"/>
    <col min="11506" max="11696" width="7.5703125" style="28"/>
    <col min="11697" max="11697" width="1.5703125" style="28" customWidth="1"/>
    <col min="11698" max="11701" width="3.5703125" style="28" customWidth="1"/>
    <col min="11702" max="11705" width="5.42578125" style="28" customWidth="1"/>
    <col min="11706" max="11721" width="4" style="28" customWidth="1"/>
    <col min="11722" max="11723" width="3.42578125" style="28" customWidth="1"/>
    <col min="11724" max="11761" width="3.5703125" style="28" customWidth="1"/>
    <col min="11762" max="11952" width="7.5703125" style="28"/>
    <col min="11953" max="11953" width="1.5703125" style="28" customWidth="1"/>
    <col min="11954" max="11957" width="3.5703125" style="28" customWidth="1"/>
    <col min="11958" max="11961" width="5.42578125" style="28" customWidth="1"/>
    <col min="11962" max="11977" width="4" style="28" customWidth="1"/>
    <col min="11978" max="11979" width="3.42578125" style="28" customWidth="1"/>
    <col min="11980" max="12017" width="3.5703125" style="28" customWidth="1"/>
    <col min="12018" max="12208" width="7.5703125" style="28"/>
    <col min="12209" max="12209" width="1.5703125" style="28" customWidth="1"/>
    <col min="12210" max="12213" width="3.5703125" style="28" customWidth="1"/>
    <col min="12214" max="12217" width="5.42578125" style="28" customWidth="1"/>
    <col min="12218" max="12233" width="4" style="28" customWidth="1"/>
    <col min="12234" max="12235" width="3.42578125" style="28" customWidth="1"/>
    <col min="12236" max="12273" width="3.5703125" style="28" customWidth="1"/>
    <col min="12274" max="12464" width="7.5703125" style="28"/>
    <col min="12465" max="12465" width="1.5703125" style="28" customWidth="1"/>
    <col min="12466" max="12469" width="3.5703125" style="28" customWidth="1"/>
    <col min="12470" max="12473" width="5.42578125" style="28" customWidth="1"/>
    <col min="12474" max="12489" width="4" style="28" customWidth="1"/>
    <col min="12490" max="12491" width="3.42578125" style="28" customWidth="1"/>
    <col min="12492" max="12529" width="3.5703125" style="28" customWidth="1"/>
    <col min="12530" max="12720" width="7.5703125" style="28"/>
    <col min="12721" max="12721" width="1.5703125" style="28" customWidth="1"/>
    <col min="12722" max="12725" width="3.5703125" style="28" customWidth="1"/>
    <col min="12726" max="12729" width="5.42578125" style="28" customWidth="1"/>
    <col min="12730" max="12745" width="4" style="28" customWidth="1"/>
    <col min="12746" max="12747" width="3.42578125" style="28" customWidth="1"/>
    <col min="12748" max="12785" width="3.5703125" style="28" customWidth="1"/>
    <col min="12786" max="12976" width="7.5703125" style="28"/>
    <col min="12977" max="12977" width="1.5703125" style="28" customWidth="1"/>
    <col min="12978" max="12981" width="3.5703125" style="28" customWidth="1"/>
    <col min="12982" max="12985" width="5.42578125" style="28" customWidth="1"/>
    <col min="12986" max="13001" width="4" style="28" customWidth="1"/>
    <col min="13002" max="13003" width="3.42578125" style="28" customWidth="1"/>
    <col min="13004" max="13041" width="3.5703125" style="28" customWidth="1"/>
    <col min="13042" max="13232" width="7.5703125" style="28"/>
    <col min="13233" max="13233" width="1.5703125" style="28" customWidth="1"/>
    <col min="13234" max="13237" width="3.5703125" style="28" customWidth="1"/>
    <col min="13238" max="13241" width="5.42578125" style="28" customWidth="1"/>
    <col min="13242" max="13257" width="4" style="28" customWidth="1"/>
    <col min="13258" max="13259" width="3.42578125" style="28" customWidth="1"/>
    <col min="13260" max="13297" width="3.5703125" style="28" customWidth="1"/>
    <col min="13298" max="13488" width="7.5703125" style="28"/>
    <col min="13489" max="13489" width="1.5703125" style="28" customWidth="1"/>
    <col min="13490" max="13493" width="3.5703125" style="28" customWidth="1"/>
    <col min="13494" max="13497" width="5.42578125" style="28" customWidth="1"/>
    <col min="13498" max="13513" width="4" style="28" customWidth="1"/>
    <col min="13514" max="13515" width="3.42578125" style="28" customWidth="1"/>
    <col min="13516" max="13553" width="3.5703125" style="28" customWidth="1"/>
    <col min="13554" max="13744" width="7.5703125" style="28"/>
    <col min="13745" max="13745" width="1.5703125" style="28" customWidth="1"/>
    <col min="13746" max="13749" width="3.5703125" style="28" customWidth="1"/>
    <col min="13750" max="13753" width="5.42578125" style="28" customWidth="1"/>
    <col min="13754" max="13769" width="4" style="28" customWidth="1"/>
    <col min="13770" max="13771" width="3.42578125" style="28" customWidth="1"/>
    <col min="13772" max="13809" width="3.5703125" style="28" customWidth="1"/>
    <col min="13810" max="14000" width="7.5703125" style="28"/>
    <col min="14001" max="14001" width="1.5703125" style="28" customWidth="1"/>
    <col min="14002" max="14005" width="3.5703125" style="28" customWidth="1"/>
    <col min="14006" max="14009" width="5.42578125" style="28" customWidth="1"/>
    <col min="14010" max="14025" width="4" style="28" customWidth="1"/>
    <col min="14026" max="14027" width="3.42578125" style="28" customWidth="1"/>
    <col min="14028" max="14065" width="3.5703125" style="28" customWidth="1"/>
    <col min="14066" max="14256" width="7.5703125" style="28"/>
    <col min="14257" max="14257" width="1.5703125" style="28" customWidth="1"/>
    <col min="14258" max="14261" width="3.5703125" style="28" customWidth="1"/>
    <col min="14262" max="14265" width="5.42578125" style="28" customWidth="1"/>
    <col min="14266" max="14281" width="4" style="28" customWidth="1"/>
    <col min="14282" max="14283" width="3.42578125" style="28" customWidth="1"/>
    <col min="14284" max="14321" width="3.5703125" style="28" customWidth="1"/>
    <col min="14322" max="14512" width="7.5703125" style="28"/>
    <col min="14513" max="14513" width="1.5703125" style="28" customWidth="1"/>
    <col min="14514" max="14517" width="3.5703125" style="28" customWidth="1"/>
    <col min="14518" max="14521" width="5.42578125" style="28" customWidth="1"/>
    <col min="14522" max="14537" width="4" style="28" customWidth="1"/>
    <col min="14538" max="14539" width="3.42578125" style="28" customWidth="1"/>
    <col min="14540" max="14577" width="3.5703125" style="28" customWidth="1"/>
    <col min="14578" max="14768" width="7.5703125" style="28"/>
    <col min="14769" max="14769" width="1.5703125" style="28" customWidth="1"/>
    <col min="14770" max="14773" width="3.5703125" style="28" customWidth="1"/>
    <col min="14774" max="14777" width="5.42578125" style="28" customWidth="1"/>
    <col min="14778" max="14793" width="4" style="28" customWidth="1"/>
    <col min="14794" max="14795" width="3.42578125" style="28" customWidth="1"/>
    <col min="14796" max="14833" width="3.5703125" style="28" customWidth="1"/>
    <col min="14834" max="15024" width="7.5703125" style="28"/>
    <col min="15025" max="15025" width="1.5703125" style="28" customWidth="1"/>
    <col min="15026" max="15029" width="3.5703125" style="28" customWidth="1"/>
    <col min="15030" max="15033" width="5.42578125" style="28" customWidth="1"/>
    <col min="15034" max="15049" width="4" style="28" customWidth="1"/>
    <col min="15050" max="15051" width="3.42578125" style="28" customWidth="1"/>
    <col min="15052" max="15089" width="3.5703125" style="28" customWidth="1"/>
    <col min="15090" max="15280" width="7.5703125" style="28"/>
    <col min="15281" max="15281" width="1.5703125" style="28" customWidth="1"/>
    <col min="15282" max="15285" width="3.5703125" style="28" customWidth="1"/>
    <col min="15286" max="15289" width="5.42578125" style="28" customWidth="1"/>
    <col min="15290" max="15305" width="4" style="28" customWidth="1"/>
    <col min="15306" max="15307" width="3.42578125" style="28" customWidth="1"/>
    <col min="15308" max="15345" width="3.5703125" style="28" customWidth="1"/>
    <col min="15346" max="15536" width="7.5703125" style="28"/>
    <col min="15537" max="15537" width="1.5703125" style="28" customWidth="1"/>
    <col min="15538" max="15541" width="3.5703125" style="28" customWidth="1"/>
    <col min="15542" max="15545" width="5.42578125" style="28" customWidth="1"/>
    <col min="15546" max="15561" width="4" style="28" customWidth="1"/>
    <col min="15562" max="15563" width="3.42578125" style="28" customWidth="1"/>
    <col min="15564" max="15601" width="3.5703125" style="28" customWidth="1"/>
    <col min="15602" max="15792" width="7.5703125" style="28"/>
    <col min="15793" max="15793" width="1.5703125" style="28" customWidth="1"/>
    <col min="15794" max="15797" width="3.5703125" style="28" customWidth="1"/>
    <col min="15798" max="15801" width="5.42578125" style="28" customWidth="1"/>
    <col min="15802" max="15817" width="4" style="28" customWidth="1"/>
    <col min="15818" max="15819" width="3.42578125" style="28" customWidth="1"/>
    <col min="15820" max="15857" width="3.5703125" style="28" customWidth="1"/>
    <col min="15858" max="16048" width="7.5703125" style="28"/>
    <col min="16049" max="16049" width="1.5703125" style="28" customWidth="1"/>
    <col min="16050" max="16053" width="3.5703125" style="28" customWidth="1"/>
    <col min="16054" max="16057" width="5.42578125" style="28" customWidth="1"/>
    <col min="16058" max="16073" width="4" style="28" customWidth="1"/>
    <col min="16074" max="16075" width="3.42578125" style="28" customWidth="1"/>
    <col min="16076" max="16113" width="3.5703125" style="28" customWidth="1"/>
    <col min="16114" max="16384" width="7.5703125" style="28"/>
  </cols>
  <sheetData>
    <row r="1" spans="1:37" ht="22.5" customHeight="1">
      <c r="A1" s="341" t="s">
        <v>33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220" t="s">
        <v>34</v>
      </c>
      <c r="M1" s="220"/>
      <c r="N1" s="220"/>
      <c r="O1" s="220"/>
      <c r="P1" s="221"/>
      <c r="Q1" s="340" t="s">
        <v>173</v>
      </c>
      <c r="R1" s="340"/>
      <c r="S1" s="340"/>
      <c r="T1" s="340"/>
      <c r="U1" s="340"/>
      <c r="V1" s="340"/>
      <c r="W1" s="220"/>
      <c r="X1" s="222" t="s">
        <v>128</v>
      </c>
      <c r="Y1" s="220"/>
      <c r="Z1" s="583">
        <v>1</v>
      </c>
      <c r="AA1" s="583"/>
      <c r="AB1" s="222" t="s">
        <v>129</v>
      </c>
      <c r="AC1" s="583">
        <v>1</v>
      </c>
      <c r="AD1" s="583"/>
      <c r="AE1" s="33"/>
    </row>
    <row r="2" spans="1:37" ht="22.5" customHeight="1">
      <c r="A2" s="341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222" t="s">
        <v>35</v>
      </c>
      <c r="M2" s="220"/>
      <c r="N2" s="222"/>
      <c r="O2" s="220"/>
      <c r="P2" s="223"/>
      <c r="Q2" s="582">
        <v>42459</v>
      </c>
      <c r="R2" s="582"/>
      <c r="S2" s="582"/>
      <c r="T2" s="582"/>
      <c r="U2" s="222" t="s">
        <v>36</v>
      </c>
      <c r="V2" s="220"/>
      <c r="W2" s="224"/>
      <c r="X2" s="224"/>
      <c r="Y2" s="224"/>
      <c r="Z2" s="582">
        <v>42459</v>
      </c>
      <c r="AA2" s="582"/>
      <c r="AB2" s="582"/>
      <c r="AC2" s="582"/>
      <c r="AD2" s="582"/>
      <c r="AE2" s="33"/>
    </row>
    <row r="3" spans="1:37" ht="22.5" customHeight="1">
      <c r="A3" s="342" t="s">
        <v>62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220" t="s">
        <v>38</v>
      </c>
      <c r="M3" s="220"/>
      <c r="N3" s="220"/>
      <c r="O3" s="220"/>
      <c r="P3" s="220"/>
      <c r="Q3" s="223"/>
      <c r="R3" s="584">
        <v>23</v>
      </c>
      <c r="S3" s="584"/>
      <c r="T3" s="225" t="s">
        <v>63</v>
      </c>
      <c r="U3" s="585">
        <v>50</v>
      </c>
      <c r="V3" s="585"/>
      <c r="W3" s="226" t="s">
        <v>39</v>
      </c>
      <c r="X3" s="220"/>
      <c r="Y3" s="220"/>
      <c r="Z3" s="220"/>
      <c r="AA3" s="220"/>
      <c r="AB3" s="220"/>
      <c r="AC3" s="220"/>
      <c r="AD3" s="220"/>
      <c r="AE3" s="34"/>
    </row>
    <row r="4" spans="1:37" ht="22.5" customHeight="1">
      <c r="A4" s="343" t="s">
        <v>117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220" t="s">
        <v>64</v>
      </c>
      <c r="M4" s="220"/>
      <c r="N4" s="220"/>
      <c r="O4" s="220"/>
      <c r="P4" s="227"/>
      <c r="Q4" s="220" t="s">
        <v>65</v>
      </c>
      <c r="R4" s="220"/>
      <c r="S4" s="220"/>
      <c r="T4" s="220"/>
      <c r="U4" s="220"/>
      <c r="V4" s="220"/>
      <c r="W4" s="220"/>
      <c r="X4" s="227"/>
      <c r="Y4" s="220" t="s">
        <v>66</v>
      </c>
      <c r="Z4" s="220"/>
      <c r="AA4" s="220"/>
      <c r="AB4" s="220"/>
      <c r="AC4" s="220"/>
      <c r="AD4" s="220"/>
      <c r="AE4" s="34"/>
    </row>
    <row r="5" spans="1:37" s="17" customFormat="1" ht="22.5" customHeight="1">
      <c r="A5" s="228" t="s">
        <v>40</v>
      </c>
      <c r="B5" s="229"/>
      <c r="C5" s="229"/>
      <c r="D5" s="229"/>
      <c r="E5" s="229"/>
      <c r="F5" s="230"/>
      <c r="G5" s="315" t="s">
        <v>170</v>
      </c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  <c r="AD5" s="232"/>
      <c r="AG5" s="35"/>
      <c r="AH5" s="35"/>
      <c r="AI5" s="26"/>
      <c r="AJ5" s="36"/>
      <c r="AK5" s="37"/>
    </row>
    <row r="6" spans="1:37" s="17" customFormat="1" ht="22.5" customHeight="1">
      <c r="A6" s="228" t="s">
        <v>181</v>
      </c>
      <c r="B6" s="229"/>
      <c r="C6" s="229"/>
      <c r="D6" s="229"/>
      <c r="E6" s="229" t="s">
        <v>75</v>
      </c>
      <c r="F6" s="230"/>
      <c r="G6" s="314" t="s">
        <v>188</v>
      </c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232"/>
      <c r="AG6" s="35"/>
      <c r="AH6" s="35"/>
      <c r="AI6" s="26"/>
      <c r="AJ6" s="36"/>
      <c r="AK6" s="37"/>
    </row>
    <row r="7" spans="1:37" s="17" customFormat="1" ht="22.5" customHeight="1">
      <c r="A7" s="228" t="s">
        <v>67</v>
      </c>
      <c r="B7" s="229"/>
      <c r="C7" s="229"/>
      <c r="D7" s="229"/>
      <c r="E7" s="229"/>
      <c r="F7" s="233"/>
      <c r="G7" s="315" t="s">
        <v>41</v>
      </c>
      <c r="H7" s="315"/>
      <c r="I7" s="315"/>
      <c r="J7" s="315"/>
      <c r="K7" s="315"/>
      <c r="L7" s="315"/>
      <c r="M7" s="315"/>
      <c r="N7" s="315"/>
      <c r="O7" s="315"/>
      <c r="P7" s="228" t="s">
        <v>42</v>
      </c>
      <c r="Q7" s="229"/>
      <c r="R7" s="233"/>
      <c r="S7" s="233"/>
      <c r="T7" s="233"/>
      <c r="U7" s="315" t="s">
        <v>171</v>
      </c>
      <c r="V7" s="315"/>
      <c r="W7" s="315"/>
      <c r="X7" s="315"/>
      <c r="Y7" s="315"/>
      <c r="Z7" s="315"/>
      <c r="AA7" s="315"/>
      <c r="AB7" s="315"/>
      <c r="AC7" s="315"/>
      <c r="AD7" s="232"/>
    </row>
    <row r="8" spans="1:37" s="17" customFormat="1" ht="22.5" customHeight="1">
      <c r="A8" s="228" t="s">
        <v>43</v>
      </c>
      <c r="B8" s="233"/>
      <c r="C8" s="233"/>
      <c r="D8" s="586" t="s">
        <v>172</v>
      </c>
      <c r="E8" s="586"/>
      <c r="F8" s="586"/>
      <c r="G8" s="586"/>
      <c r="H8" s="586"/>
      <c r="I8" s="586"/>
      <c r="J8" s="586"/>
      <c r="K8" s="586"/>
      <c r="L8" s="337" t="s">
        <v>44</v>
      </c>
      <c r="M8" s="337"/>
      <c r="N8" s="337"/>
      <c r="O8" s="234"/>
      <c r="P8" s="586">
        <v>1234567</v>
      </c>
      <c r="Q8" s="586"/>
      <c r="R8" s="586"/>
      <c r="S8" s="586"/>
      <c r="T8" s="586"/>
      <c r="U8" s="586"/>
      <c r="V8" s="586"/>
      <c r="W8" s="338" t="s">
        <v>45</v>
      </c>
      <c r="X8" s="338"/>
      <c r="Y8" s="587" t="s">
        <v>85</v>
      </c>
      <c r="Z8" s="587"/>
      <c r="AA8" s="587"/>
      <c r="AB8" s="587"/>
      <c r="AC8" s="587"/>
      <c r="AD8" s="232"/>
      <c r="AE8" s="19"/>
    </row>
    <row r="9" spans="1:37" s="17" customFormat="1" ht="22.5" customHeight="1">
      <c r="A9" s="235" t="s">
        <v>48</v>
      </c>
      <c r="B9" s="232"/>
      <c r="C9" s="229"/>
      <c r="D9" s="593">
        <v>0</v>
      </c>
      <c r="E9" s="593"/>
      <c r="F9" s="236" t="s">
        <v>37</v>
      </c>
      <c r="G9" s="593">
        <v>1000</v>
      </c>
      <c r="H9" s="593"/>
      <c r="I9" s="339" t="s">
        <v>22</v>
      </c>
      <c r="J9" s="339"/>
      <c r="K9" s="233"/>
      <c r="L9" s="233"/>
      <c r="M9" s="233"/>
      <c r="N9" s="237" t="s">
        <v>49</v>
      </c>
      <c r="O9" s="588">
        <v>1E-3</v>
      </c>
      <c r="P9" s="589"/>
      <c r="Q9" s="589"/>
      <c r="R9" s="589"/>
      <c r="S9" s="238" t="str">
        <f>I9</f>
        <v>g</v>
      </c>
      <c r="T9" s="230"/>
      <c r="U9" s="230"/>
      <c r="V9" s="230"/>
      <c r="W9" s="239"/>
      <c r="X9" s="336"/>
      <c r="Y9" s="336"/>
      <c r="Z9" s="336"/>
      <c r="AA9" s="336"/>
      <c r="AB9" s="232"/>
      <c r="AC9" s="232"/>
      <c r="AD9" s="232"/>
    </row>
    <row r="10" spans="1:37" s="17" customFormat="1" ht="22.5" customHeight="1">
      <c r="A10" s="240" t="s">
        <v>68</v>
      </c>
      <c r="B10" s="240"/>
      <c r="C10" s="240"/>
      <c r="D10" s="240"/>
      <c r="E10" s="240"/>
      <c r="F10" s="235"/>
      <c r="G10" s="241"/>
      <c r="H10" s="235" t="s">
        <v>69</v>
      </c>
      <c r="I10" s="233"/>
      <c r="J10" s="242"/>
      <c r="K10" s="243"/>
      <c r="L10" s="235" t="s">
        <v>70</v>
      </c>
      <c r="M10" s="233"/>
      <c r="N10" s="235"/>
      <c r="O10" s="244"/>
      <c r="P10" s="245"/>
      <c r="Q10" s="246"/>
      <c r="R10" s="247"/>
      <c r="S10" s="248"/>
      <c r="T10" s="231"/>
      <c r="U10" s="231"/>
      <c r="V10" s="231"/>
      <c r="W10" s="249"/>
      <c r="X10" s="249"/>
      <c r="Y10" s="249"/>
      <c r="Z10" s="249"/>
      <c r="AA10" s="249"/>
      <c r="AB10" s="249"/>
      <c r="AC10" s="249"/>
      <c r="AD10" s="232"/>
      <c r="AE10" s="19"/>
    </row>
    <row r="11" spans="1:37" s="17" customFormat="1" ht="22.5" customHeight="1">
      <c r="A11" s="235" t="s">
        <v>46</v>
      </c>
      <c r="B11" s="235"/>
      <c r="C11" s="235"/>
      <c r="D11" s="235"/>
      <c r="E11" s="235"/>
      <c r="F11" s="235"/>
      <c r="G11" s="250"/>
      <c r="H11" s="590" t="s">
        <v>175</v>
      </c>
      <c r="I11" s="590"/>
      <c r="J11" s="590"/>
      <c r="K11" s="590"/>
      <c r="L11" s="249"/>
      <c r="M11" s="249"/>
      <c r="N11" s="249"/>
      <c r="O11" s="232"/>
      <c r="P11" s="232"/>
      <c r="Q11" s="228"/>
      <c r="R11" s="236" t="s">
        <v>47</v>
      </c>
      <c r="S11" s="236"/>
      <c r="T11" s="229"/>
      <c r="U11" s="330">
        <v>43061</v>
      </c>
      <c r="V11" s="330"/>
      <c r="W11" s="330"/>
      <c r="X11" s="330"/>
      <c r="Y11" s="330"/>
      <c r="Z11" s="330"/>
      <c r="AA11" s="232"/>
      <c r="AB11" s="232"/>
      <c r="AC11" s="232"/>
      <c r="AD11" s="232"/>
      <c r="AE11" s="22"/>
    </row>
    <row r="12" spans="1:37" s="17" customFormat="1" ht="22.5" customHeight="1">
      <c r="A12" s="235" t="s">
        <v>46</v>
      </c>
      <c r="B12" s="235"/>
      <c r="C12" s="235"/>
      <c r="D12" s="235"/>
      <c r="E12" s="235"/>
      <c r="F12" s="235"/>
      <c r="G12" s="250"/>
      <c r="H12" s="249"/>
      <c r="I12" s="249"/>
      <c r="J12" s="249"/>
      <c r="K12" s="249"/>
      <c r="L12" s="249"/>
      <c r="M12" s="249"/>
      <c r="N12" s="249"/>
      <c r="O12" s="232"/>
      <c r="P12" s="232"/>
      <c r="Q12" s="228"/>
      <c r="R12" s="236" t="s">
        <v>47</v>
      </c>
      <c r="S12" s="236"/>
      <c r="T12" s="229"/>
      <c r="U12" s="249"/>
      <c r="V12" s="249"/>
      <c r="W12" s="249"/>
      <c r="X12" s="249"/>
      <c r="Y12" s="249"/>
      <c r="Z12" s="249"/>
      <c r="AA12" s="232"/>
      <c r="AB12" s="232"/>
      <c r="AC12" s="232"/>
      <c r="AD12" s="232"/>
    </row>
    <row r="13" spans="1:37" s="17" customFormat="1" ht="22.5" customHeight="1">
      <c r="A13" s="269" t="s">
        <v>182</v>
      </c>
      <c r="H13" s="591" t="s">
        <v>140</v>
      </c>
      <c r="I13" s="592"/>
      <c r="J13" s="592"/>
      <c r="K13" s="592"/>
      <c r="L13" s="592"/>
      <c r="M13" s="39"/>
      <c r="N13" s="39"/>
      <c r="W13" s="20"/>
      <c r="X13" s="20"/>
      <c r="Y13" s="20"/>
      <c r="AD13" s="40"/>
    </row>
    <row r="14" spans="1:37" s="17" customFormat="1" ht="10.5" customHeight="1">
      <c r="A14" s="269"/>
      <c r="H14" s="270"/>
      <c r="I14" s="271"/>
      <c r="J14" s="271"/>
      <c r="K14" s="271"/>
      <c r="L14" s="271"/>
      <c r="M14" s="271"/>
      <c r="N14" s="271"/>
      <c r="W14" s="20"/>
      <c r="X14" s="20"/>
      <c r="Y14" s="20"/>
      <c r="AD14" s="40"/>
    </row>
    <row r="15" spans="1:37" s="17" customFormat="1" ht="18" customHeight="1">
      <c r="A15" s="41" t="s">
        <v>71</v>
      </c>
    </row>
    <row r="16" spans="1:37" s="17" customFormat="1" ht="21.75">
      <c r="A16" s="30" t="s">
        <v>115</v>
      </c>
      <c r="B16" s="21"/>
      <c r="C16" s="21"/>
      <c r="D16" s="18"/>
      <c r="E16" s="31"/>
      <c r="F16" s="31"/>
      <c r="G16" s="31"/>
      <c r="H16" s="31"/>
      <c r="I16" s="31"/>
      <c r="J16" s="31"/>
      <c r="K16" s="31"/>
      <c r="L16" s="31"/>
      <c r="M16" s="31"/>
      <c r="N16" s="30" t="s">
        <v>121</v>
      </c>
      <c r="O16" s="31"/>
      <c r="P16" s="31"/>
      <c r="Q16" s="31"/>
      <c r="R16" s="31"/>
      <c r="S16" s="31"/>
      <c r="T16" s="21"/>
      <c r="U16" s="21"/>
      <c r="V16" s="18"/>
      <c r="W16" s="331"/>
      <c r="X16" s="331"/>
      <c r="Y16" s="332"/>
      <c r="Z16" s="332"/>
      <c r="AA16" s="18"/>
    </row>
    <row r="17" spans="1:35" s="17" customFormat="1" ht="21" customHeight="1">
      <c r="A17" s="344" t="s">
        <v>10</v>
      </c>
      <c r="B17" s="345"/>
      <c r="C17" s="346"/>
      <c r="D17" s="347">
        <v>1</v>
      </c>
      <c r="E17" s="348"/>
      <c r="F17" s="348"/>
      <c r="G17" s="349"/>
      <c r="H17" s="347">
        <v>2</v>
      </c>
      <c r="I17" s="348"/>
      <c r="J17" s="348"/>
      <c r="K17" s="349"/>
      <c r="L17" s="347">
        <v>3</v>
      </c>
      <c r="M17" s="348"/>
      <c r="N17" s="348"/>
      <c r="O17" s="349"/>
      <c r="P17" s="347">
        <v>4</v>
      </c>
      <c r="Q17" s="348"/>
      <c r="R17" s="348"/>
      <c r="S17" s="349"/>
      <c r="T17" s="347">
        <v>5</v>
      </c>
      <c r="U17" s="348"/>
      <c r="V17" s="348"/>
      <c r="W17" s="349"/>
      <c r="X17" s="371" t="s">
        <v>50</v>
      </c>
      <c r="Y17" s="371"/>
      <c r="Z17" s="371"/>
      <c r="AA17" s="371"/>
    </row>
    <row r="18" spans="1:35" s="17" customFormat="1" ht="21" customHeight="1">
      <c r="A18" s="356">
        <f>rang</f>
        <v>1000</v>
      </c>
      <c r="B18" s="357"/>
      <c r="C18" s="358"/>
      <c r="D18" s="311">
        <v>1000</v>
      </c>
      <c r="E18" s="312"/>
      <c r="F18" s="312"/>
      <c r="G18" s="313"/>
      <c r="H18" s="311">
        <v>1000</v>
      </c>
      <c r="I18" s="312"/>
      <c r="J18" s="312"/>
      <c r="K18" s="313"/>
      <c r="L18" s="311">
        <v>1000</v>
      </c>
      <c r="M18" s="312"/>
      <c r="N18" s="312"/>
      <c r="O18" s="313"/>
      <c r="P18" s="311">
        <v>1000</v>
      </c>
      <c r="Q18" s="312"/>
      <c r="R18" s="312"/>
      <c r="S18" s="313"/>
      <c r="T18" s="311">
        <v>1000</v>
      </c>
      <c r="U18" s="312"/>
      <c r="V18" s="312"/>
      <c r="W18" s="313"/>
      <c r="X18" s="371"/>
      <c r="Y18" s="371"/>
      <c r="Z18" s="371"/>
      <c r="AA18" s="371"/>
    </row>
    <row r="19" spans="1:35" s="17" customFormat="1" ht="21" customHeight="1">
      <c r="A19" s="356"/>
      <c r="B19" s="357"/>
      <c r="C19" s="358"/>
      <c r="D19" s="347">
        <v>6</v>
      </c>
      <c r="E19" s="348"/>
      <c r="F19" s="348"/>
      <c r="G19" s="349"/>
      <c r="H19" s="347">
        <v>7</v>
      </c>
      <c r="I19" s="348"/>
      <c r="J19" s="348"/>
      <c r="K19" s="349"/>
      <c r="L19" s="347">
        <v>8</v>
      </c>
      <c r="M19" s="348"/>
      <c r="N19" s="348"/>
      <c r="O19" s="349"/>
      <c r="P19" s="347">
        <v>9</v>
      </c>
      <c r="Q19" s="348"/>
      <c r="R19" s="348"/>
      <c r="S19" s="349"/>
      <c r="T19" s="347">
        <v>10</v>
      </c>
      <c r="U19" s="348"/>
      <c r="V19" s="348"/>
      <c r="W19" s="349"/>
      <c r="X19" s="370">
        <f>STDEV(D18:W18,D20:W20)</f>
        <v>0</v>
      </c>
      <c r="Y19" s="370"/>
      <c r="Z19" s="370"/>
      <c r="AA19" s="370"/>
    </row>
    <row r="20" spans="1:35" s="17" customFormat="1" ht="21" customHeight="1">
      <c r="A20" s="359"/>
      <c r="B20" s="360"/>
      <c r="C20" s="361"/>
      <c r="D20" s="362">
        <v>1000</v>
      </c>
      <c r="E20" s="363"/>
      <c r="F20" s="363"/>
      <c r="G20" s="364"/>
      <c r="H20" s="362">
        <v>1000</v>
      </c>
      <c r="I20" s="363"/>
      <c r="J20" s="363"/>
      <c r="K20" s="364"/>
      <c r="L20" s="362">
        <v>1000</v>
      </c>
      <c r="M20" s="363"/>
      <c r="N20" s="363"/>
      <c r="O20" s="364"/>
      <c r="P20" s="362">
        <v>1000</v>
      </c>
      <c r="Q20" s="363"/>
      <c r="R20" s="363"/>
      <c r="S20" s="364"/>
      <c r="T20" s="362">
        <v>1000</v>
      </c>
      <c r="U20" s="363"/>
      <c r="V20" s="363"/>
      <c r="W20" s="364"/>
      <c r="X20" s="370"/>
      <c r="Y20" s="370"/>
      <c r="Z20" s="370"/>
      <c r="AA20" s="370"/>
      <c r="AF20" s="23"/>
      <c r="AG20" s="23"/>
      <c r="AH20" s="23"/>
      <c r="AI20" s="23"/>
    </row>
    <row r="21" spans="1:35" s="17" customFormat="1" ht="18" customHeight="1">
      <c r="A21" s="41"/>
    </row>
    <row r="22" spans="1:35" s="17" customFormat="1" ht="21.75" customHeight="1">
      <c r="A22" s="18" t="s">
        <v>109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 t="s">
        <v>122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35" s="17" customFormat="1" ht="21" customHeight="1">
      <c r="A23" s="318" t="s">
        <v>51</v>
      </c>
      <c r="B23" s="319"/>
      <c r="C23" s="320"/>
      <c r="D23" s="347" t="s">
        <v>141</v>
      </c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18" t="s">
        <v>58</v>
      </c>
      <c r="U23" s="319"/>
      <c r="V23" s="319"/>
      <c r="W23" s="320"/>
      <c r="X23" s="318" t="s">
        <v>4</v>
      </c>
      <c r="Y23" s="319"/>
      <c r="Z23" s="319"/>
      <c r="AA23" s="320"/>
      <c r="AB23" s="318" t="s">
        <v>72</v>
      </c>
      <c r="AC23" s="319"/>
      <c r="AD23" s="319"/>
      <c r="AE23" s="320"/>
    </row>
    <row r="24" spans="1:35" s="17" customFormat="1" ht="21" customHeight="1">
      <c r="A24" s="333" t="str">
        <f>I9</f>
        <v>g</v>
      </c>
      <c r="B24" s="334"/>
      <c r="C24" s="335"/>
      <c r="D24" s="318" t="s">
        <v>54</v>
      </c>
      <c r="E24" s="319"/>
      <c r="F24" s="319"/>
      <c r="G24" s="319"/>
      <c r="H24" s="318" t="s">
        <v>55</v>
      </c>
      <c r="I24" s="319"/>
      <c r="J24" s="319"/>
      <c r="K24" s="319"/>
      <c r="L24" s="318" t="s">
        <v>56</v>
      </c>
      <c r="M24" s="319"/>
      <c r="N24" s="319"/>
      <c r="O24" s="319"/>
      <c r="P24" s="318" t="s">
        <v>57</v>
      </c>
      <c r="Q24" s="319"/>
      <c r="R24" s="319"/>
      <c r="S24" s="319"/>
      <c r="T24" s="323"/>
      <c r="U24" s="324"/>
      <c r="V24" s="324"/>
      <c r="W24" s="325"/>
      <c r="X24" s="323"/>
      <c r="Y24" s="324"/>
      <c r="Z24" s="324"/>
      <c r="AA24" s="325"/>
      <c r="AB24" s="323"/>
      <c r="AC24" s="324"/>
      <c r="AD24" s="324"/>
      <c r="AE24" s="325"/>
    </row>
    <row r="25" spans="1:35" s="17" customFormat="1" ht="21" customHeight="1">
      <c r="A25" s="595">
        <f>setm10-setm10</f>
        <v>0</v>
      </c>
      <c r="B25" s="596"/>
      <c r="C25" s="597"/>
      <c r="D25" s="365">
        <v>0</v>
      </c>
      <c r="E25" s="366"/>
      <c r="F25" s="366"/>
      <c r="G25" s="366"/>
      <c r="H25" s="365">
        <v>0</v>
      </c>
      <c r="I25" s="366"/>
      <c r="J25" s="366"/>
      <c r="K25" s="366"/>
      <c r="L25" s="365">
        <v>0</v>
      </c>
      <c r="M25" s="366"/>
      <c r="N25" s="366"/>
      <c r="O25" s="366"/>
      <c r="P25" s="365">
        <v>0</v>
      </c>
      <c r="Q25" s="366"/>
      <c r="R25" s="366"/>
      <c r="S25" s="366"/>
      <c r="T25" s="367">
        <f>AVERAGE(D25:S25)</f>
        <v>0</v>
      </c>
      <c r="U25" s="368"/>
      <c r="V25" s="368"/>
      <c r="W25" s="369"/>
      <c r="X25" s="368">
        <f>STDEV(D25:S25)/SQRT(4)</f>
        <v>0</v>
      </c>
      <c r="Y25" s="368"/>
      <c r="Z25" s="368"/>
      <c r="AA25" s="369"/>
      <c r="AB25" s="367">
        <f>T25-A25</f>
        <v>0</v>
      </c>
      <c r="AC25" s="368"/>
      <c r="AD25" s="368"/>
      <c r="AE25" s="369"/>
    </row>
    <row r="26" spans="1:35" s="17" customFormat="1" ht="21" customHeight="1">
      <c r="A26" s="598">
        <f>G9*10%</f>
        <v>100</v>
      </c>
      <c r="B26" s="599"/>
      <c r="C26" s="600"/>
      <c r="D26" s="311">
        <v>100</v>
      </c>
      <c r="E26" s="312"/>
      <c r="F26" s="312"/>
      <c r="G26" s="312"/>
      <c r="H26" s="311">
        <v>100</v>
      </c>
      <c r="I26" s="312"/>
      <c r="J26" s="312"/>
      <c r="K26" s="312"/>
      <c r="L26" s="311">
        <v>100</v>
      </c>
      <c r="M26" s="312"/>
      <c r="N26" s="312"/>
      <c r="O26" s="312"/>
      <c r="P26" s="311">
        <v>100</v>
      </c>
      <c r="Q26" s="312"/>
      <c r="R26" s="312"/>
      <c r="S26" s="312"/>
      <c r="T26" s="355">
        <f>AVERAGE(D26:S26)</f>
        <v>100</v>
      </c>
      <c r="U26" s="353"/>
      <c r="V26" s="353"/>
      <c r="W26" s="354"/>
      <c r="X26" s="353">
        <f>STDEV(D26:S26)/SQRT(4)</f>
        <v>0</v>
      </c>
      <c r="Y26" s="353"/>
      <c r="Z26" s="353"/>
      <c r="AA26" s="354"/>
      <c r="AB26" s="355">
        <f>T26-A26</f>
        <v>0</v>
      </c>
      <c r="AC26" s="353"/>
      <c r="AD26" s="353"/>
      <c r="AE26" s="354"/>
    </row>
    <row r="27" spans="1:35" s="17" customFormat="1" ht="21" customHeight="1">
      <c r="A27" s="598">
        <f>G9*20%</f>
        <v>200</v>
      </c>
      <c r="B27" s="599"/>
      <c r="C27" s="600"/>
      <c r="D27" s="311">
        <v>200</v>
      </c>
      <c r="E27" s="312"/>
      <c r="F27" s="312"/>
      <c r="G27" s="312"/>
      <c r="H27" s="311">
        <v>200</v>
      </c>
      <c r="I27" s="312"/>
      <c r="J27" s="312"/>
      <c r="K27" s="312"/>
      <c r="L27" s="311">
        <v>200</v>
      </c>
      <c r="M27" s="312"/>
      <c r="N27" s="312"/>
      <c r="O27" s="312"/>
      <c r="P27" s="311">
        <v>200</v>
      </c>
      <c r="Q27" s="312"/>
      <c r="R27" s="312"/>
      <c r="S27" s="312"/>
      <c r="T27" s="355">
        <f t="shared" ref="T27:T35" si="0">AVERAGE(D27:S27)</f>
        <v>200</v>
      </c>
      <c r="U27" s="353"/>
      <c r="V27" s="353"/>
      <c r="W27" s="354"/>
      <c r="X27" s="353">
        <f t="shared" ref="X27:X35" si="1">STDEV(D27:S27)/SQRT(4)</f>
        <v>0</v>
      </c>
      <c r="Y27" s="353"/>
      <c r="Z27" s="353"/>
      <c r="AA27" s="354"/>
      <c r="AB27" s="355">
        <f t="shared" ref="AB27:AB35" si="2">T27-A27</f>
        <v>0</v>
      </c>
      <c r="AC27" s="353"/>
      <c r="AD27" s="353"/>
      <c r="AE27" s="354"/>
    </row>
    <row r="28" spans="1:35" s="17" customFormat="1" ht="21" customHeight="1">
      <c r="A28" s="598">
        <f>G9*30%</f>
        <v>300</v>
      </c>
      <c r="B28" s="599"/>
      <c r="C28" s="600"/>
      <c r="D28" s="311">
        <v>300</v>
      </c>
      <c r="E28" s="312"/>
      <c r="F28" s="312"/>
      <c r="G28" s="312"/>
      <c r="H28" s="311">
        <v>300</v>
      </c>
      <c r="I28" s="312"/>
      <c r="J28" s="312"/>
      <c r="K28" s="312"/>
      <c r="L28" s="311">
        <v>300</v>
      </c>
      <c r="M28" s="312"/>
      <c r="N28" s="312"/>
      <c r="O28" s="312"/>
      <c r="P28" s="311">
        <v>300</v>
      </c>
      <c r="Q28" s="312"/>
      <c r="R28" s="312"/>
      <c r="S28" s="312"/>
      <c r="T28" s="355">
        <f t="shared" si="0"/>
        <v>300</v>
      </c>
      <c r="U28" s="353"/>
      <c r="V28" s="353"/>
      <c r="W28" s="354"/>
      <c r="X28" s="353">
        <f t="shared" si="1"/>
        <v>0</v>
      </c>
      <c r="Y28" s="353"/>
      <c r="Z28" s="353"/>
      <c r="AA28" s="354"/>
      <c r="AB28" s="355">
        <f t="shared" si="2"/>
        <v>0</v>
      </c>
      <c r="AC28" s="353"/>
      <c r="AD28" s="353"/>
      <c r="AE28" s="354"/>
    </row>
    <row r="29" spans="1:35" s="17" customFormat="1" ht="21" customHeight="1">
      <c r="A29" s="598">
        <f>G9*40%</f>
        <v>400</v>
      </c>
      <c r="B29" s="599"/>
      <c r="C29" s="600"/>
      <c r="D29" s="311">
        <v>400</v>
      </c>
      <c r="E29" s="312"/>
      <c r="F29" s="312"/>
      <c r="G29" s="312"/>
      <c r="H29" s="311">
        <v>400</v>
      </c>
      <c r="I29" s="312"/>
      <c r="J29" s="312"/>
      <c r="K29" s="312"/>
      <c r="L29" s="311">
        <v>400</v>
      </c>
      <c r="M29" s="312"/>
      <c r="N29" s="312"/>
      <c r="O29" s="312"/>
      <c r="P29" s="311">
        <v>400</v>
      </c>
      <c r="Q29" s="312"/>
      <c r="R29" s="312"/>
      <c r="S29" s="312"/>
      <c r="T29" s="355">
        <f t="shared" si="0"/>
        <v>400</v>
      </c>
      <c r="U29" s="353"/>
      <c r="V29" s="353"/>
      <c r="W29" s="354"/>
      <c r="X29" s="353">
        <f t="shared" si="1"/>
        <v>0</v>
      </c>
      <c r="Y29" s="353"/>
      <c r="Z29" s="353"/>
      <c r="AA29" s="354"/>
      <c r="AB29" s="355">
        <f t="shared" si="2"/>
        <v>0</v>
      </c>
      <c r="AC29" s="353"/>
      <c r="AD29" s="353"/>
      <c r="AE29" s="354"/>
    </row>
    <row r="30" spans="1:35" s="17" customFormat="1" ht="21" customHeight="1">
      <c r="A30" s="598">
        <f>G9*50%</f>
        <v>500</v>
      </c>
      <c r="B30" s="599"/>
      <c r="C30" s="600"/>
      <c r="D30" s="311">
        <v>500</v>
      </c>
      <c r="E30" s="312"/>
      <c r="F30" s="312"/>
      <c r="G30" s="312"/>
      <c r="H30" s="311">
        <v>500</v>
      </c>
      <c r="I30" s="312"/>
      <c r="J30" s="312"/>
      <c r="K30" s="312"/>
      <c r="L30" s="311">
        <v>500</v>
      </c>
      <c r="M30" s="312"/>
      <c r="N30" s="312"/>
      <c r="O30" s="312"/>
      <c r="P30" s="311">
        <v>500</v>
      </c>
      <c r="Q30" s="312"/>
      <c r="R30" s="312"/>
      <c r="S30" s="312"/>
      <c r="T30" s="355">
        <f t="shared" si="0"/>
        <v>500</v>
      </c>
      <c r="U30" s="353"/>
      <c r="V30" s="353"/>
      <c r="W30" s="354"/>
      <c r="X30" s="355">
        <f t="shared" si="1"/>
        <v>0</v>
      </c>
      <c r="Y30" s="353"/>
      <c r="Z30" s="353"/>
      <c r="AA30" s="354"/>
      <c r="AB30" s="355">
        <f t="shared" si="2"/>
        <v>0</v>
      </c>
      <c r="AC30" s="353"/>
      <c r="AD30" s="353"/>
      <c r="AE30" s="354"/>
    </row>
    <row r="31" spans="1:35" s="17" customFormat="1" ht="21" customHeight="1">
      <c r="A31" s="598">
        <f>G9*60%</f>
        <v>600</v>
      </c>
      <c r="B31" s="599"/>
      <c r="C31" s="600"/>
      <c r="D31" s="311">
        <v>600</v>
      </c>
      <c r="E31" s="312"/>
      <c r="F31" s="312"/>
      <c r="G31" s="312"/>
      <c r="H31" s="311">
        <v>600</v>
      </c>
      <c r="I31" s="312"/>
      <c r="J31" s="312"/>
      <c r="K31" s="312"/>
      <c r="L31" s="311">
        <v>600</v>
      </c>
      <c r="M31" s="312"/>
      <c r="N31" s="312"/>
      <c r="O31" s="312"/>
      <c r="P31" s="311">
        <v>600</v>
      </c>
      <c r="Q31" s="312"/>
      <c r="R31" s="312"/>
      <c r="S31" s="312"/>
      <c r="T31" s="355">
        <f t="shared" si="0"/>
        <v>600</v>
      </c>
      <c r="U31" s="353"/>
      <c r="V31" s="353"/>
      <c r="W31" s="354"/>
      <c r="X31" s="353">
        <f t="shared" si="1"/>
        <v>0</v>
      </c>
      <c r="Y31" s="353"/>
      <c r="Z31" s="353"/>
      <c r="AA31" s="354"/>
      <c r="AB31" s="355">
        <f t="shared" si="2"/>
        <v>0</v>
      </c>
      <c r="AC31" s="353"/>
      <c r="AD31" s="353"/>
      <c r="AE31" s="354"/>
    </row>
    <row r="32" spans="1:35" s="17" customFormat="1" ht="21" customHeight="1">
      <c r="A32" s="598">
        <f>G9*70%</f>
        <v>700</v>
      </c>
      <c r="B32" s="599"/>
      <c r="C32" s="600"/>
      <c r="D32" s="311">
        <v>700</v>
      </c>
      <c r="E32" s="312"/>
      <c r="F32" s="312"/>
      <c r="G32" s="312"/>
      <c r="H32" s="311">
        <v>700</v>
      </c>
      <c r="I32" s="312"/>
      <c r="J32" s="312"/>
      <c r="K32" s="312"/>
      <c r="L32" s="311">
        <v>700</v>
      </c>
      <c r="M32" s="312"/>
      <c r="N32" s="312"/>
      <c r="O32" s="312"/>
      <c r="P32" s="311">
        <v>700</v>
      </c>
      <c r="Q32" s="312"/>
      <c r="R32" s="312"/>
      <c r="S32" s="312"/>
      <c r="T32" s="355">
        <f t="shared" si="0"/>
        <v>700</v>
      </c>
      <c r="U32" s="353"/>
      <c r="V32" s="353"/>
      <c r="W32" s="354"/>
      <c r="X32" s="353">
        <f t="shared" si="1"/>
        <v>0</v>
      </c>
      <c r="Y32" s="353"/>
      <c r="Z32" s="353"/>
      <c r="AA32" s="354"/>
      <c r="AB32" s="355">
        <f t="shared" si="2"/>
        <v>0</v>
      </c>
      <c r="AC32" s="353"/>
      <c r="AD32" s="353"/>
      <c r="AE32" s="354"/>
    </row>
    <row r="33" spans="1:33" s="17" customFormat="1" ht="21" customHeight="1">
      <c r="A33" s="598">
        <f>G9*80%</f>
        <v>800</v>
      </c>
      <c r="B33" s="599"/>
      <c r="C33" s="600"/>
      <c r="D33" s="311">
        <v>800</v>
      </c>
      <c r="E33" s="312"/>
      <c r="F33" s="312"/>
      <c r="G33" s="312"/>
      <c r="H33" s="311">
        <v>800</v>
      </c>
      <c r="I33" s="312"/>
      <c r="J33" s="312"/>
      <c r="K33" s="312"/>
      <c r="L33" s="311">
        <v>800</v>
      </c>
      <c r="M33" s="312"/>
      <c r="N33" s="312"/>
      <c r="O33" s="312"/>
      <c r="P33" s="311">
        <v>800</v>
      </c>
      <c r="Q33" s="312"/>
      <c r="R33" s="312"/>
      <c r="S33" s="312"/>
      <c r="T33" s="355">
        <f t="shared" si="0"/>
        <v>800</v>
      </c>
      <c r="U33" s="353"/>
      <c r="V33" s="353"/>
      <c r="W33" s="354"/>
      <c r="X33" s="353">
        <f t="shared" si="1"/>
        <v>0</v>
      </c>
      <c r="Y33" s="353"/>
      <c r="Z33" s="353"/>
      <c r="AA33" s="354"/>
      <c r="AB33" s="355">
        <f t="shared" si="2"/>
        <v>0</v>
      </c>
      <c r="AC33" s="353"/>
      <c r="AD33" s="353"/>
      <c r="AE33" s="354"/>
    </row>
    <row r="34" spans="1:33" s="17" customFormat="1" ht="21" customHeight="1">
      <c r="A34" s="598">
        <f>G9*90%</f>
        <v>900</v>
      </c>
      <c r="B34" s="599"/>
      <c r="C34" s="600"/>
      <c r="D34" s="311">
        <v>900</v>
      </c>
      <c r="E34" s="312"/>
      <c r="F34" s="312"/>
      <c r="G34" s="312"/>
      <c r="H34" s="311">
        <v>900</v>
      </c>
      <c r="I34" s="312"/>
      <c r="J34" s="312"/>
      <c r="K34" s="312"/>
      <c r="L34" s="311">
        <v>900</v>
      </c>
      <c r="M34" s="312"/>
      <c r="N34" s="312"/>
      <c r="O34" s="312"/>
      <c r="P34" s="311">
        <v>900</v>
      </c>
      <c r="Q34" s="312"/>
      <c r="R34" s="312"/>
      <c r="S34" s="312"/>
      <c r="T34" s="355">
        <f t="shared" si="0"/>
        <v>900</v>
      </c>
      <c r="U34" s="353"/>
      <c r="V34" s="353"/>
      <c r="W34" s="354"/>
      <c r="X34" s="353">
        <f t="shared" si="1"/>
        <v>0</v>
      </c>
      <c r="Y34" s="353"/>
      <c r="Z34" s="353"/>
      <c r="AA34" s="354"/>
      <c r="AB34" s="355">
        <f t="shared" si="2"/>
        <v>0</v>
      </c>
      <c r="AC34" s="353"/>
      <c r="AD34" s="353"/>
      <c r="AE34" s="354"/>
    </row>
    <row r="35" spans="1:33" s="17" customFormat="1" ht="21" customHeight="1">
      <c r="A35" s="601">
        <f>G9*100%</f>
        <v>1000</v>
      </c>
      <c r="B35" s="602"/>
      <c r="C35" s="603"/>
      <c r="D35" s="308">
        <v>1000</v>
      </c>
      <c r="E35" s="309"/>
      <c r="F35" s="309"/>
      <c r="G35" s="309"/>
      <c r="H35" s="308">
        <v>1000</v>
      </c>
      <c r="I35" s="309"/>
      <c r="J35" s="309"/>
      <c r="K35" s="309"/>
      <c r="L35" s="308">
        <v>1000</v>
      </c>
      <c r="M35" s="309"/>
      <c r="N35" s="309"/>
      <c r="O35" s="309"/>
      <c r="P35" s="308">
        <v>1000</v>
      </c>
      <c r="Q35" s="309"/>
      <c r="R35" s="309"/>
      <c r="S35" s="309"/>
      <c r="T35" s="350">
        <f t="shared" si="0"/>
        <v>1000</v>
      </c>
      <c r="U35" s="351"/>
      <c r="V35" s="351"/>
      <c r="W35" s="352"/>
      <c r="X35" s="351">
        <f t="shared" si="1"/>
        <v>0</v>
      </c>
      <c r="Y35" s="351"/>
      <c r="Z35" s="351"/>
      <c r="AA35" s="352"/>
      <c r="AB35" s="350">
        <f t="shared" si="2"/>
        <v>0</v>
      </c>
      <c r="AC35" s="351"/>
      <c r="AD35" s="351"/>
      <c r="AE35" s="352"/>
    </row>
    <row r="36" spans="1:33" s="17" customFormat="1" ht="21.75">
      <c r="A36" s="164"/>
      <c r="B36" s="164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55"/>
      <c r="Q36" s="155"/>
      <c r="R36" s="158"/>
      <c r="S36" s="159"/>
      <c r="T36" s="159"/>
      <c r="U36" s="156"/>
      <c r="V36" s="157"/>
      <c r="W36" s="157"/>
      <c r="X36" s="152"/>
      <c r="Y36" s="152"/>
      <c r="Z36" s="152"/>
      <c r="AA36" s="29"/>
      <c r="AB36" s="23"/>
    </row>
    <row r="37" spans="1:33" s="17" customFormat="1" ht="21.75">
      <c r="A37" s="24" t="s">
        <v>120</v>
      </c>
      <c r="B37" s="24"/>
      <c r="C37" s="24"/>
      <c r="D37" s="24"/>
      <c r="E37" s="24"/>
      <c r="F37" s="24"/>
      <c r="G37" s="24"/>
      <c r="H37" s="39"/>
      <c r="J37" s="17" t="s">
        <v>123</v>
      </c>
      <c r="U37" s="329"/>
      <c r="V37" s="329"/>
      <c r="W37" s="29"/>
      <c r="X37" s="29"/>
      <c r="Y37" s="29"/>
      <c r="Z37" s="29"/>
      <c r="AA37" s="29"/>
      <c r="AB37" s="32" t="s">
        <v>116</v>
      </c>
    </row>
    <row r="38" spans="1:33" ht="18.75" customHeight="1">
      <c r="A38" s="318" t="s">
        <v>52</v>
      </c>
      <c r="B38" s="319"/>
      <c r="C38" s="320"/>
      <c r="D38" s="347" t="s">
        <v>53</v>
      </c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48"/>
      <c r="P38" s="348"/>
      <c r="Q38" s="348"/>
      <c r="R38" s="348"/>
      <c r="S38" s="349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</row>
    <row r="39" spans="1:33" ht="18.75" customHeight="1">
      <c r="A39" s="323">
        <f>G9/4</f>
        <v>250</v>
      </c>
      <c r="B39" s="324"/>
      <c r="C39" s="325"/>
      <c r="D39" s="347" t="s">
        <v>54</v>
      </c>
      <c r="E39" s="348"/>
      <c r="F39" s="348"/>
      <c r="G39" s="349"/>
      <c r="H39" s="347" t="s">
        <v>55</v>
      </c>
      <c r="I39" s="348"/>
      <c r="J39" s="348"/>
      <c r="K39" s="349"/>
      <c r="L39" s="347" t="s">
        <v>56</v>
      </c>
      <c r="M39" s="348"/>
      <c r="N39" s="348"/>
      <c r="O39" s="349"/>
      <c r="P39" s="347" t="s">
        <v>57</v>
      </c>
      <c r="Q39" s="348"/>
      <c r="R39" s="348"/>
      <c r="S39" s="349"/>
      <c r="T39" s="146"/>
      <c r="U39" s="146"/>
      <c r="V39" s="147"/>
      <c r="W39" s="147"/>
      <c r="X39" s="147"/>
      <c r="Y39" s="147"/>
      <c r="Z39" s="148"/>
      <c r="AA39" s="148"/>
      <c r="AB39" s="148"/>
      <c r="AC39" s="148"/>
      <c r="AD39" s="148"/>
    </row>
    <row r="40" spans="1:33" ht="18.75" customHeight="1">
      <c r="A40" s="326" t="s">
        <v>110</v>
      </c>
      <c r="B40" s="327"/>
      <c r="C40" s="328"/>
      <c r="D40" s="311">
        <v>250</v>
      </c>
      <c r="E40" s="312"/>
      <c r="F40" s="312"/>
      <c r="G40" s="313"/>
      <c r="H40" s="311">
        <v>250</v>
      </c>
      <c r="I40" s="312"/>
      <c r="J40" s="312"/>
      <c r="K40" s="313"/>
      <c r="L40" s="311">
        <v>250</v>
      </c>
      <c r="M40" s="312"/>
      <c r="N40" s="312"/>
      <c r="O40" s="313"/>
      <c r="P40" s="311">
        <v>250</v>
      </c>
      <c r="Q40" s="312"/>
      <c r="R40" s="312"/>
      <c r="S40" s="313"/>
      <c r="T40" s="149"/>
      <c r="U40" s="149"/>
      <c r="V40" s="150"/>
      <c r="W40" s="150"/>
      <c r="X40" s="150"/>
      <c r="Y40" s="150"/>
      <c r="Z40" s="151"/>
      <c r="AA40" s="151"/>
      <c r="AB40" s="151"/>
      <c r="AC40" s="151"/>
      <c r="AD40" s="151"/>
    </row>
    <row r="41" spans="1:33" ht="18.75" customHeight="1">
      <c r="A41" s="322" t="s">
        <v>111</v>
      </c>
      <c r="B41" s="322"/>
      <c r="C41" s="322"/>
      <c r="D41" s="311">
        <v>250</v>
      </c>
      <c r="E41" s="312"/>
      <c r="F41" s="312"/>
      <c r="G41" s="313"/>
      <c r="H41" s="311">
        <v>250</v>
      </c>
      <c r="I41" s="312"/>
      <c r="J41" s="312"/>
      <c r="K41" s="313"/>
      <c r="L41" s="311">
        <v>250</v>
      </c>
      <c r="M41" s="312"/>
      <c r="N41" s="312"/>
      <c r="O41" s="313"/>
      <c r="P41" s="311">
        <v>250</v>
      </c>
      <c r="Q41" s="312"/>
      <c r="R41" s="312"/>
      <c r="S41" s="313"/>
      <c r="T41" s="149"/>
      <c r="U41" s="149"/>
      <c r="V41" s="150"/>
      <c r="W41" s="150"/>
      <c r="X41" s="150"/>
      <c r="Y41" s="150"/>
      <c r="Z41" s="151"/>
      <c r="AA41" s="151"/>
      <c r="AB41" s="151"/>
      <c r="AC41" s="151"/>
      <c r="AD41" s="151"/>
    </row>
    <row r="42" spans="1:33" ht="18.75" customHeight="1">
      <c r="A42" s="322" t="s">
        <v>112</v>
      </c>
      <c r="B42" s="322"/>
      <c r="C42" s="322"/>
      <c r="D42" s="311">
        <v>250</v>
      </c>
      <c r="E42" s="312"/>
      <c r="F42" s="312"/>
      <c r="G42" s="313"/>
      <c r="H42" s="311">
        <v>250</v>
      </c>
      <c r="I42" s="312"/>
      <c r="J42" s="312"/>
      <c r="K42" s="313"/>
      <c r="L42" s="311">
        <v>250</v>
      </c>
      <c r="M42" s="312"/>
      <c r="N42" s="312"/>
      <c r="O42" s="313"/>
      <c r="P42" s="311">
        <v>250</v>
      </c>
      <c r="Q42" s="312"/>
      <c r="R42" s="312"/>
      <c r="S42" s="313"/>
      <c r="T42" s="149"/>
      <c r="U42" s="149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</row>
    <row r="43" spans="1:33" ht="18.75" customHeight="1">
      <c r="A43" s="322" t="s">
        <v>113</v>
      </c>
      <c r="B43" s="322"/>
      <c r="C43" s="322"/>
      <c r="D43" s="311">
        <v>250</v>
      </c>
      <c r="E43" s="312"/>
      <c r="F43" s="312"/>
      <c r="G43" s="313"/>
      <c r="H43" s="311">
        <v>250</v>
      </c>
      <c r="I43" s="312"/>
      <c r="J43" s="312"/>
      <c r="K43" s="313"/>
      <c r="L43" s="311">
        <v>250</v>
      </c>
      <c r="M43" s="312"/>
      <c r="N43" s="312"/>
      <c r="O43" s="313"/>
      <c r="P43" s="311">
        <v>250</v>
      </c>
      <c r="Q43" s="312"/>
      <c r="R43" s="312"/>
      <c r="S43" s="313"/>
      <c r="T43" s="149"/>
      <c r="U43" s="149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</row>
    <row r="44" spans="1:33" ht="18.75" customHeight="1">
      <c r="A44" s="321" t="s">
        <v>114</v>
      </c>
      <c r="B44" s="321"/>
      <c r="C44" s="321"/>
      <c r="D44" s="308">
        <v>250</v>
      </c>
      <c r="E44" s="309"/>
      <c r="F44" s="309"/>
      <c r="G44" s="310"/>
      <c r="H44" s="308">
        <v>250</v>
      </c>
      <c r="I44" s="309"/>
      <c r="J44" s="309"/>
      <c r="K44" s="310"/>
      <c r="L44" s="308">
        <v>250</v>
      </c>
      <c r="M44" s="309"/>
      <c r="N44" s="309"/>
      <c r="O44" s="310"/>
      <c r="P44" s="308">
        <v>250</v>
      </c>
      <c r="Q44" s="309"/>
      <c r="R44" s="309"/>
      <c r="S44" s="310"/>
      <c r="T44" s="149"/>
      <c r="U44" s="149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</row>
    <row r="45" spans="1:33" ht="18.75" customHeight="1">
      <c r="A45" s="316" t="s">
        <v>59</v>
      </c>
      <c r="B45" s="317"/>
      <c r="C45" s="317"/>
      <c r="D45" s="317"/>
      <c r="E45" s="594">
        <f>MAX(D40:S44)-MIN(D40:S44)</f>
        <v>0</v>
      </c>
      <c r="F45" s="594"/>
      <c r="G45" s="594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</row>
    <row r="46" spans="1:33" ht="18.75" customHeight="1"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</row>
    <row r="47" spans="1:33" ht="18.75" customHeight="1"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</row>
    <row r="48" spans="1:33" ht="18.75" customHeight="1">
      <c r="A48" s="209" t="s">
        <v>60</v>
      </c>
      <c r="B48" s="209"/>
      <c r="C48" s="209"/>
      <c r="D48" s="209"/>
      <c r="E48" s="37"/>
      <c r="F48" s="42" t="str">
        <f>F51</f>
        <v>Mr.Nirut  Loha</v>
      </c>
      <c r="G48" s="42"/>
      <c r="H48" s="42"/>
      <c r="I48" s="42"/>
      <c r="J48" s="42"/>
      <c r="K48" s="42"/>
      <c r="L48" s="43"/>
      <c r="M48" s="4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</row>
    <row r="49" spans="1:13" ht="18.75" customHeight="1">
      <c r="A49" s="44"/>
      <c r="B49" s="44"/>
      <c r="C49" s="44"/>
      <c r="D49" s="44"/>
      <c r="E49" s="37"/>
      <c r="F49" s="45"/>
      <c r="G49" s="45"/>
      <c r="H49" s="45"/>
      <c r="I49" s="45"/>
      <c r="J49" s="45"/>
      <c r="K49" s="45"/>
      <c r="L49" s="46"/>
      <c r="M49" s="46"/>
    </row>
    <row r="51" spans="1:13" ht="18.75" customHeight="1">
      <c r="D51" s="38"/>
      <c r="E51" s="38"/>
      <c r="F51" s="26" t="s">
        <v>183</v>
      </c>
      <c r="G51" s="36"/>
      <c r="H51" s="37"/>
    </row>
    <row r="52" spans="1:13" ht="18.75" customHeight="1">
      <c r="F52" s="26" t="s">
        <v>184</v>
      </c>
    </row>
    <row r="53" spans="1:13" ht="18.75" customHeight="1">
      <c r="F53" s="26" t="s">
        <v>185</v>
      </c>
    </row>
    <row r="54" spans="1:13" ht="18.75" customHeight="1">
      <c r="F54" s="26" t="s">
        <v>186</v>
      </c>
    </row>
    <row r="55" spans="1:13" ht="18.75" customHeight="1">
      <c r="F55" s="26" t="s">
        <v>187</v>
      </c>
    </row>
  </sheetData>
  <mergeCells count="184">
    <mergeCell ref="P25:S25"/>
    <mergeCell ref="T25:W25"/>
    <mergeCell ref="X25:AA25"/>
    <mergeCell ref="AB25:AE25"/>
    <mergeCell ref="X19:AA20"/>
    <mergeCell ref="X17:AA18"/>
    <mergeCell ref="D23:S23"/>
    <mergeCell ref="X23:AA24"/>
    <mergeCell ref="AB23:AE24"/>
    <mergeCell ref="T23:W24"/>
    <mergeCell ref="H17:K17"/>
    <mergeCell ref="L17:O17"/>
    <mergeCell ref="P17:S17"/>
    <mergeCell ref="T17:W17"/>
    <mergeCell ref="D25:G25"/>
    <mergeCell ref="H25:K25"/>
    <mergeCell ref="L25:O25"/>
    <mergeCell ref="T35:W35"/>
    <mergeCell ref="X26:AA26"/>
    <mergeCell ref="P33:S33"/>
    <mergeCell ref="P34:S34"/>
    <mergeCell ref="P35:S35"/>
    <mergeCell ref="T26:W26"/>
    <mergeCell ref="T27:W27"/>
    <mergeCell ref="T28:W28"/>
    <mergeCell ref="T29:W29"/>
    <mergeCell ref="T30:W30"/>
    <mergeCell ref="T31:W31"/>
    <mergeCell ref="T32:W32"/>
    <mergeCell ref="P27:S27"/>
    <mergeCell ref="P28:S28"/>
    <mergeCell ref="P29:S29"/>
    <mergeCell ref="P30:S30"/>
    <mergeCell ref="P31:S31"/>
    <mergeCell ref="P32:S32"/>
    <mergeCell ref="T34:W34"/>
    <mergeCell ref="T33:W33"/>
    <mergeCell ref="A18:C20"/>
    <mergeCell ref="D18:G18"/>
    <mergeCell ref="H18:K18"/>
    <mergeCell ref="L18:O18"/>
    <mergeCell ref="P18:S18"/>
    <mergeCell ref="T18:W18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AB26:AE26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H27:K27"/>
    <mergeCell ref="H28:K28"/>
    <mergeCell ref="L33:O33"/>
    <mergeCell ref="L34:O34"/>
    <mergeCell ref="L35:O35"/>
    <mergeCell ref="D41:G41"/>
    <mergeCell ref="H41:K41"/>
    <mergeCell ref="L41:O41"/>
    <mergeCell ref="L30:O30"/>
    <mergeCell ref="L31:O31"/>
    <mergeCell ref="L32:O32"/>
    <mergeCell ref="D38:S38"/>
    <mergeCell ref="D39:G39"/>
    <mergeCell ref="H39:K39"/>
    <mergeCell ref="L39:O39"/>
    <mergeCell ref="P39:S39"/>
    <mergeCell ref="D40:G40"/>
    <mergeCell ref="H40:K40"/>
    <mergeCell ref="L40:O40"/>
    <mergeCell ref="P40:S40"/>
    <mergeCell ref="D26:G26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6:K26"/>
    <mergeCell ref="P26:S26"/>
    <mergeCell ref="A17:C17"/>
    <mergeCell ref="D17:G17"/>
    <mergeCell ref="A23:C23"/>
    <mergeCell ref="A24:C24"/>
    <mergeCell ref="A32:C32"/>
    <mergeCell ref="A31:C31"/>
    <mergeCell ref="A30:C30"/>
    <mergeCell ref="A29:C29"/>
    <mergeCell ref="A28:C28"/>
    <mergeCell ref="A27:C27"/>
    <mergeCell ref="A26:C26"/>
    <mergeCell ref="A25:C25"/>
    <mergeCell ref="U37:V37"/>
    <mergeCell ref="P41:S41"/>
    <mergeCell ref="D42:G42"/>
    <mergeCell ref="H42:K42"/>
    <mergeCell ref="L42:O42"/>
    <mergeCell ref="P42:S42"/>
    <mergeCell ref="D9:E9"/>
    <mergeCell ref="G9:H9"/>
    <mergeCell ref="O9:R9"/>
    <mergeCell ref="U11:Z11"/>
    <mergeCell ref="W16:X16"/>
    <mergeCell ref="Y16:Z16"/>
    <mergeCell ref="D24:G24"/>
    <mergeCell ref="H24:K24"/>
    <mergeCell ref="P24:S24"/>
    <mergeCell ref="H29:K29"/>
    <mergeCell ref="H30:K30"/>
    <mergeCell ref="H31:K31"/>
    <mergeCell ref="H32:K32"/>
    <mergeCell ref="L26:O26"/>
    <mergeCell ref="L27:O27"/>
    <mergeCell ref="L28:O28"/>
    <mergeCell ref="L29:O29"/>
    <mergeCell ref="L24:O24"/>
    <mergeCell ref="A39:C39"/>
    <mergeCell ref="A42:C42"/>
    <mergeCell ref="A41:C41"/>
    <mergeCell ref="A40:C40"/>
    <mergeCell ref="D27:G27"/>
    <mergeCell ref="D28:G28"/>
    <mergeCell ref="D29:G29"/>
    <mergeCell ref="D30:G30"/>
    <mergeCell ref="D31:G31"/>
    <mergeCell ref="D32:G32"/>
    <mergeCell ref="L44:O44"/>
    <mergeCell ref="P44:S44"/>
    <mergeCell ref="D43:G43"/>
    <mergeCell ref="H43:K43"/>
    <mergeCell ref="L43:O43"/>
    <mergeCell ref="P43:S43"/>
    <mergeCell ref="G6:AC6"/>
    <mergeCell ref="G5:AC5"/>
    <mergeCell ref="A45:D45"/>
    <mergeCell ref="E45:G45"/>
    <mergeCell ref="A35:C35"/>
    <mergeCell ref="A34:C34"/>
    <mergeCell ref="A33:C33"/>
    <mergeCell ref="D33:G33"/>
    <mergeCell ref="D34:G34"/>
    <mergeCell ref="D35:G35"/>
    <mergeCell ref="H33:K33"/>
    <mergeCell ref="H34:K34"/>
    <mergeCell ref="H35:K35"/>
    <mergeCell ref="A38:C38"/>
    <mergeCell ref="A44:C44"/>
    <mergeCell ref="A43:C43"/>
    <mergeCell ref="D44:G44"/>
    <mergeCell ref="H44:K44"/>
  </mergeCells>
  <pageMargins left="0.31496062992125984" right="0.31496062992125984" top="0.74803149606299213" bottom="0.15748031496062992" header="0.31496062992125984" footer="0.31496062992125984"/>
  <pageSetup paperSize="9" scale="76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37</xdr:row>
                <xdr:rowOff>19050</xdr:rowOff>
              </from>
              <to>
                <xdr:col>24</xdr:col>
                <xdr:colOff>57150</xdr:colOff>
                <xdr:row>41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O38" sqref="O38"/>
    </sheetView>
  </sheetViews>
  <sheetFormatPr defaultColWidth="9.140625" defaultRowHeight="20.25"/>
  <cols>
    <col min="1" max="9" width="3.7109375" style="47" customWidth="1"/>
    <col min="10" max="13" width="3.42578125" style="47" customWidth="1"/>
    <col min="14" max="14" width="3.7109375" style="47" customWidth="1"/>
    <col min="15" max="21" width="3.42578125" style="47" customWidth="1"/>
    <col min="22" max="22" width="3.7109375" style="47" customWidth="1"/>
    <col min="23" max="28" width="3.42578125" style="47" customWidth="1"/>
    <col min="29" max="31" width="3.7109375" style="47" customWidth="1"/>
    <col min="32" max="256" width="9.140625" style="47"/>
    <col min="257" max="265" width="3.7109375" style="47" customWidth="1"/>
    <col min="266" max="269" width="3.42578125" style="47" customWidth="1"/>
    <col min="270" max="270" width="3.7109375" style="47" customWidth="1"/>
    <col min="271" max="277" width="3.42578125" style="47" customWidth="1"/>
    <col min="278" max="278" width="3.7109375" style="47" customWidth="1"/>
    <col min="279" max="284" width="3.42578125" style="47" customWidth="1"/>
    <col min="285" max="287" width="3.7109375" style="47" customWidth="1"/>
    <col min="288" max="512" width="9.140625" style="47"/>
    <col min="513" max="521" width="3.7109375" style="47" customWidth="1"/>
    <col min="522" max="525" width="3.42578125" style="47" customWidth="1"/>
    <col min="526" max="526" width="3.7109375" style="47" customWidth="1"/>
    <col min="527" max="533" width="3.42578125" style="47" customWidth="1"/>
    <col min="534" max="534" width="3.7109375" style="47" customWidth="1"/>
    <col min="535" max="540" width="3.42578125" style="47" customWidth="1"/>
    <col min="541" max="543" width="3.7109375" style="47" customWidth="1"/>
    <col min="544" max="768" width="9.140625" style="47"/>
    <col min="769" max="777" width="3.7109375" style="47" customWidth="1"/>
    <col min="778" max="781" width="3.42578125" style="47" customWidth="1"/>
    <col min="782" max="782" width="3.7109375" style="47" customWidth="1"/>
    <col min="783" max="789" width="3.42578125" style="47" customWidth="1"/>
    <col min="790" max="790" width="3.7109375" style="47" customWidth="1"/>
    <col min="791" max="796" width="3.42578125" style="47" customWidth="1"/>
    <col min="797" max="799" width="3.7109375" style="47" customWidth="1"/>
    <col min="800" max="1024" width="9.140625" style="47"/>
    <col min="1025" max="1033" width="3.7109375" style="47" customWidth="1"/>
    <col min="1034" max="1037" width="3.42578125" style="47" customWidth="1"/>
    <col min="1038" max="1038" width="3.7109375" style="47" customWidth="1"/>
    <col min="1039" max="1045" width="3.42578125" style="47" customWidth="1"/>
    <col min="1046" max="1046" width="3.7109375" style="47" customWidth="1"/>
    <col min="1047" max="1052" width="3.42578125" style="47" customWidth="1"/>
    <col min="1053" max="1055" width="3.7109375" style="47" customWidth="1"/>
    <col min="1056" max="1280" width="9.140625" style="47"/>
    <col min="1281" max="1289" width="3.7109375" style="47" customWidth="1"/>
    <col min="1290" max="1293" width="3.42578125" style="47" customWidth="1"/>
    <col min="1294" max="1294" width="3.7109375" style="47" customWidth="1"/>
    <col min="1295" max="1301" width="3.42578125" style="47" customWidth="1"/>
    <col min="1302" max="1302" width="3.7109375" style="47" customWidth="1"/>
    <col min="1303" max="1308" width="3.42578125" style="47" customWidth="1"/>
    <col min="1309" max="1311" width="3.7109375" style="47" customWidth="1"/>
    <col min="1312" max="1536" width="9.140625" style="47"/>
    <col min="1537" max="1545" width="3.7109375" style="47" customWidth="1"/>
    <col min="1546" max="1549" width="3.42578125" style="47" customWidth="1"/>
    <col min="1550" max="1550" width="3.7109375" style="47" customWidth="1"/>
    <col min="1551" max="1557" width="3.42578125" style="47" customWidth="1"/>
    <col min="1558" max="1558" width="3.7109375" style="47" customWidth="1"/>
    <col min="1559" max="1564" width="3.42578125" style="47" customWidth="1"/>
    <col min="1565" max="1567" width="3.7109375" style="47" customWidth="1"/>
    <col min="1568" max="1792" width="9.140625" style="47"/>
    <col min="1793" max="1801" width="3.7109375" style="47" customWidth="1"/>
    <col min="1802" max="1805" width="3.42578125" style="47" customWidth="1"/>
    <col min="1806" max="1806" width="3.7109375" style="47" customWidth="1"/>
    <col min="1807" max="1813" width="3.42578125" style="47" customWidth="1"/>
    <col min="1814" max="1814" width="3.7109375" style="47" customWidth="1"/>
    <col min="1815" max="1820" width="3.42578125" style="47" customWidth="1"/>
    <col min="1821" max="1823" width="3.7109375" style="47" customWidth="1"/>
    <col min="1824" max="2048" width="9.140625" style="47"/>
    <col min="2049" max="2057" width="3.7109375" style="47" customWidth="1"/>
    <col min="2058" max="2061" width="3.42578125" style="47" customWidth="1"/>
    <col min="2062" max="2062" width="3.7109375" style="47" customWidth="1"/>
    <col min="2063" max="2069" width="3.42578125" style="47" customWidth="1"/>
    <col min="2070" max="2070" width="3.7109375" style="47" customWidth="1"/>
    <col min="2071" max="2076" width="3.42578125" style="47" customWidth="1"/>
    <col min="2077" max="2079" width="3.7109375" style="47" customWidth="1"/>
    <col min="2080" max="2304" width="9.140625" style="47"/>
    <col min="2305" max="2313" width="3.7109375" style="47" customWidth="1"/>
    <col min="2314" max="2317" width="3.42578125" style="47" customWidth="1"/>
    <col min="2318" max="2318" width="3.7109375" style="47" customWidth="1"/>
    <col min="2319" max="2325" width="3.42578125" style="47" customWidth="1"/>
    <col min="2326" max="2326" width="3.7109375" style="47" customWidth="1"/>
    <col min="2327" max="2332" width="3.42578125" style="47" customWidth="1"/>
    <col min="2333" max="2335" width="3.7109375" style="47" customWidth="1"/>
    <col min="2336" max="2560" width="9.140625" style="47"/>
    <col min="2561" max="2569" width="3.7109375" style="47" customWidth="1"/>
    <col min="2570" max="2573" width="3.42578125" style="47" customWidth="1"/>
    <col min="2574" max="2574" width="3.7109375" style="47" customWidth="1"/>
    <col min="2575" max="2581" width="3.42578125" style="47" customWidth="1"/>
    <col min="2582" max="2582" width="3.7109375" style="47" customWidth="1"/>
    <col min="2583" max="2588" width="3.42578125" style="47" customWidth="1"/>
    <col min="2589" max="2591" width="3.7109375" style="47" customWidth="1"/>
    <col min="2592" max="2816" width="9.140625" style="47"/>
    <col min="2817" max="2825" width="3.7109375" style="47" customWidth="1"/>
    <col min="2826" max="2829" width="3.42578125" style="47" customWidth="1"/>
    <col min="2830" max="2830" width="3.7109375" style="47" customWidth="1"/>
    <col min="2831" max="2837" width="3.42578125" style="47" customWidth="1"/>
    <col min="2838" max="2838" width="3.7109375" style="47" customWidth="1"/>
    <col min="2839" max="2844" width="3.42578125" style="47" customWidth="1"/>
    <col min="2845" max="2847" width="3.7109375" style="47" customWidth="1"/>
    <col min="2848" max="3072" width="9.140625" style="47"/>
    <col min="3073" max="3081" width="3.7109375" style="47" customWidth="1"/>
    <col min="3082" max="3085" width="3.42578125" style="47" customWidth="1"/>
    <col min="3086" max="3086" width="3.7109375" style="47" customWidth="1"/>
    <col min="3087" max="3093" width="3.42578125" style="47" customWidth="1"/>
    <col min="3094" max="3094" width="3.7109375" style="47" customWidth="1"/>
    <col min="3095" max="3100" width="3.42578125" style="47" customWidth="1"/>
    <col min="3101" max="3103" width="3.7109375" style="47" customWidth="1"/>
    <col min="3104" max="3328" width="9.140625" style="47"/>
    <col min="3329" max="3337" width="3.7109375" style="47" customWidth="1"/>
    <col min="3338" max="3341" width="3.42578125" style="47" customWidth="1"/>
    <col min="3342" max="3342" width="3.7109375" style="47" customWidth="1"/>
    <col min="3343" max="3349" width="3.42578125" style="47" customWidth="1"/>
    <col min="3350" max="3350" width="3.7109375" style="47" customWidth="1"/>
    <col min="3351" max="3356" width="3.42578125" style="47" customWidth="1"/>
    <col min="3357" max="3359" width="3.7109375" style="47" customWidth="1"/>
    <col min="3360" max="3584" width="9.140625" style="47"/>
    <col min="3585" max="3593" width="3.7109375" style="47" customWidth="1"/>
    <col min="3594" max="3597" width="3.42578125" style="47" customWidth="1"/>
    <col min="3598" max="3598" width="3.7109375" style="47" customWidth="1"/>
    <col min="3599" max="3605" width="3.42578125" style="47" customWidth="1"/>
    <col min="3606" max="3606" width="3.7109375" style="47" customWidth="1"/>
    <col min="3607" max="3612" width="3.42578125" style="47" customWidth="1"/>
    <col min="3613" max="3615" width="3.7109375" style="47" customWidth="1"/>
    <col min="3616" max="3840" width="9.140625" style="47"/>
    <col min="3841" max="3849" width="3.7109375" style="47" customWidth="1"/>
    <col min="3850" max="3853" width="3.42578125" style="47" customWidth="1"/>
    <col min="3854" max="3854" width="3.7109375" style="47" customWidth="1"/>
    <col min="3855" max="3861" width="3.42578125" style="47" customWidth="1"/>
    <col min="3862" max="3862" width="3.7109375" style="47" customWidth="1"/>
    <col min="3863" max="3868" width="3.42578125" style="47" customWidth="1"/>
    <col min="3869" max="3871" width="3.7109375" style="47" customWidth="1"/>
    <col min="3872" max="4096" width="9.140625" style="47"/>
    <col min="4097" max="4105" width="3.7109375" style="47" customWidth="1"/>
    <col min="4106" max="4109" width="3.42578125" style="47" customWidth="1"/>
    <col min="4110" max="4110" width="3.7109375" style="47" customWidth="1"/>
    <col min="4111" max="4117" width="3.42578125" style="47" customWidth="1"/>
    <col min="4118" max="4118" width="3.7109375" style="47" customWidth="1"/>
    <col min="4119" max="4124" width="3.42578125" style="47" customWidth="1"/>
    <col min="4125" max="4127" width="3.7109375" style="47" customWidth="1"/>
    <col min="4128" max="4352" width="9.140625" style="47"/>
    <col min="4353" max="4361" width="3.7109375" style="47" customWidth="1"/>
    <col min="4362" max="4365" width="3.42578125" style="47" customWidth="1"/>
    <col min="4366" max="4366" width="3.7109375" style="47" customWidth="1"/>
    <col min="4367" max="4373" width="3.42578125" style="47" customWidth="1"/>
    <col min="4374" max="4374" width="3.7109375" style="47" customWidth="1"/>
    <col min="4375" max="4380" width="3.42578125" style="47" customWidth="1"/>
    <col min="4381" max="4383" width="3.7109375" style="47" customWidth="1"/>
    <col min="4384" max="4608" width="9.140625" style="47"/>
    <col min="4609" max="4617" width="3.7109375" style="47" customWidth="1"/>
    <col min="4618" max="4621" width="3.42578125" style="47" customWidth="1"/>
    <col min="4622" max="4622" width="3.7109375" style="47" customWidth="1"/>
    <col min="4623" max="4629" width="3.42578125" style="47" customWidth="1"/>
    <col min="4630" max="4630" width="3.7109375" style="47" customWidth="1"/>
    <col min="4631" max="4636" width="3.42578125" style="47" customWidth="1"/>
    <col min="4637" max="4639" width="3.7109375" style="47" customWidth="1"/>
    <col min="4640" max="4864" width="9.140625" style="47"/>
    <col min="4865" max="4873" width="3.7109375" style="47" customWidth="1"/>
    <col min="4874" max="4877" width="3.42578125" style="47" customWidth="1"/>
    <col min="4878" max="4878" width="3.7109375" style="47" customWidth="1"/>
    <col min="4879" max="4885" width="3.42578125" style="47" customWidth="1"/>
    <col min="4886" max="4886" width="3.7109375" style="47" customWidth="1"/>
    <col min="4887" max="4892" width="3.42578125" style="47" customWidth="1"/>
    <col min="4893" max="4895" width="3.7109375" style="47" customWidth="1"/>
    <col min="4896" max="5120" width="9.140625" style="47"/>
    <col min="5121" max="5129" width="3.7109375" style="47" customWidth="1"/>
    <col min="5130" max="5133" width="3.42578125" style="47" customWidth="1"/>
    <col min="5134" max="5134" width="3.7109375" style="47" customWidth="1"/>
    <col min="5135" max="5141" width="3.42578125" style="47" customWidth="1"/>
    <col min="5142" max="5142" width="3.7109375" style="47" customWidth="1"/>
    <col min="5143" max="5148" width="3.42578125" style="47" customWidth="1"/>
    <col min="5149" max="5151" width="3.7109375" style="47" customWidth="1"/>
    <col min="5152" max="5376" width="9.140625" style="47"/>
    <col min="5377" max="5385" width="3.7109375" style="47" customWidth="1"/>
    <col min="5386" max="5389" width="3.42578125" style="47" customWidth="1"/>
    <col min="5390" max="5390" width="3.7109375" style="47" customWidth="1"/>
    <col min="5391" max="5397" width="3.42578125" style="47" customWidth="1"/>
    <col min="5398" max="5398" width="3.7109375" style="47" customWidth="1"/>
    <col min="5399" max="5404" width="3.42578125" style="47" customWidth="1"/>
    <col min="5405" max="5407" width="3.7109375" style="47" customWidth="1"/>
    <col min="5408" max="5632" width="9.140625" style="47"/>
    <col min="5633" max="5641" width="3.7109375" style="47" customWidth="1"/>
    <col min="5642" max="5645" width="3.42578125" style="47" customWidth="1"/>
    <col min="5646" max="5646" width="3.7109375" style="47" customWidth="1"/>
    <col min="5647" max="5653" width="3.42578125" style="47" customWidth="1"/>
    <col min="5654" max="5654" width="3.7109375" style="47" customWidth="1"/>
    <col min="5655" max="5660" width="3.42578125" style="47" customWidth="1"/>
    <col min="5661" max="5663" width="3.7109375" style="47" customWidth="1"/>
    <col min="5664" max="5888" width="9.140625" style="47"/>
    <col min="5889" max="5897" width="3.7109375" style="47" customWidth="1"/>
    <col min="5898" max="5901" width="3.42578125" style="47" customWidth="1"/>
    <col min="5902" max="5902" width="3.7109375" style="47" customWidth="1"/>
    <col min="5903" max="5909" width="3.42578125" style="47" customWidth="1"/>
    <col min="5910" max="5910" width="3.7109375" style="47" customWidth="1"/>
    <col min="5911" max="5916" width="3.42578125" style="47" customWidth="1"/>
    <col min="5917" max="5919" width="3.7109375" style="47" customWidth="1"/>
    <col min="5920" max="6144" width="9.140625" style="47"/>
    <col min="6145" max="6153" width="3.7109375" style="47" customWidth="1"/>
    <col min="6154" max="6157" width="3.42578125" style="47" customWidth="1"/>
    <col min="6158" max="6158" width="3.7109375" style="47" customWidth="1"/>
    <col min="6159" max="6165" width="3.42578125" style="47" customWidth="1"/>
    <col min="6166" max="6166" width="3.7109375" style="47" customWidth="1"/>
    <col min="6167" max="6172" width="3.42578125" style="47" customWidth="1"/>
    <col min="6173" max="6175" width="3.7109375" style="47" customWidth="1"/>
    <col min="6176" max="6400" width="9.140625" style="47"/>
    <col min="6401" max="6409" width="3.7109375" style="47" customWidth="1"/>
    <col min="6410" max="6413" width="3.42578125" style="47" customWidth="1"/>
    <col min="6414" max="6414" width="3.7109375" style="47" customWidth="1"/>
    <col min="6415" max="6421" width="3.42578125" style="47" customWidth="1"/>
    <col min="6422" max="6422" width="3.7109375" style="47" customWidth="1"/>
    <col min="6423" max="6428" width="3.42578125" style="47" customWidth="1"/>
    <col min="6429" max="6431" width="3.7109375" style="47" customWidth="1"/>
    <col min="6432" max="6656" width="9.140625" style="47"/>
    <col min="6657" max="6665" width="3.7109375" style="47" customWidth="1"/>
    <col min="6666" max="6669" width="3.42578125" style="47" customWidth="1"/>
    <col min="6670" max="6670" width="3.7109375" style="47" customWidth="1"/>
    <col min="6671" max="6677" width="3.42578125" style="47" customWidth="1"/>
    <col min="6678" max="6678" width="3.7109375" style="47" customWidth="1"/>
    <col min="6679" max="6684" width="3.42578125" style="47" customWidth="1"/>
    <col min="6685" max="6687" width="3.7109375" style="47" customWidth="1"/>
    <col min="6688" max="6912" width="9.140625" style="47"/>
    <col min="6913" max="6921" width="3.7109375" style="47" customWidth="1"/>
    <col min="6922" max="6925" width="3.42578125" style="47" customWidth="1"/>
    <col min="6926" max="6926" width="3.7109375" style="47" customWidth="1"/>
    <col min="6927" max="6933" width="3.42578125" style="47" customWidth="1"/>
    <col min="6934" max="6934" width="3.7109375" style="47" customWidth="1"/>
    <col min="6935" max="6940" width="3.42578125" style="47" customWidth="1"/>
    <col min="6941" max="6943" width="3.7109375" style="47" customWidth="1"/>
    <col min="6944" max="7168" width="9.140625" style="47"/>
    <col min="7169" max="7177" width="3.7109375" style="47" customWidth="1"/>
    <col min="7178" max="7181" width="3.42578125" style="47" customWidth="1"/>
    <col min="7182" max="7182" width="3.7109375" style="47" customWidth="1"/>
    <col min="7183" max="7189" width="3.42578125" style="47" customWidth="1"/>
    <col min="7190" max="7190" width="3.7109375" style="47" customWidth="1"/>
    <col min="7191" max="7196" width="3.42578125" style="47" customWidth="1"/>
    <col min="7197" max="7199" width="3.7109375" style="47" customWidth="1"/>
    <col min="7200" max="7424" width="9.140625" style="47"/>
    <col min="7425" max="7433" width="3.7109375" style="47" customWidth="1"/>
    <col min="7434" max="7437" width="3.42578125" style="47" customWidth="1"/>
    <col min="7438" max="7438" width="3.7109375" style="47" customWidth="1"/>
    <col min="7439" max="7445" width="3.42578125" style="47" customWidth="1"/>
    <col min="7446" max="7446" width="3.7109375" style="47" customWidth="1"/>
    <col min="7447" max="7452" width="3.42578125" style="47" customWidth="1"/>
    <col min="7453" max="7455" width="3.7109375" style="47" customWidth="1"/>
    <col min="7456" max="7680" width="9.140625" style="47"/>
    <col min="7681" max="7689" width="3.7109375" style="47" customWidth="1"/>
    <col min="7690" max="7693" width="3.42578125" style="47" customWidth="1"/>
    <col min="7694" max="7694" width="3.7109375" style="47" customWidth="1"/>
    <col min="7695" max="7701" width="3.42578125" style="47" customWidth="1"/>
    <col min="7702" max="7702" width="3.7109375" style="47" customWidth="1"/>
    <col min="7703" max="7708" width="3.42578125" style="47" customWidth="1"/>
    <col min="7709" max="7711" width="3.7109375" style="47" customWidth="1"/>
    <col min="7712" max="7936" width="9.140625" style="47"/>
    <col min="7937" max="7945" width="3.7109375" style="47" customWidth="1"/>
    <col min="7946" max="7949" width="3.42578125" style="47" customWidth="1"/>
    <col min="7950" max="7950" width="3.7109375" style="47" customWidth="1"/>
    <col min="7951" max="7957" width="3.42578125" style="47" customWidth="1"/>
    <col min="7958" max="7958" width="3.7109375" style="47" customWidth="1"/>
    <col min="7959" max="7964" width="3.42578125" style="47" customWidth="1"/>
    <col min="7965" max="7967" width="3.7109375" style="47" customWidth="1"/>
    <col min="7968" max="8192" width="9.140625" style="47"/>
    <col min="8193" max="8201" width="3.7109375" style="47" customWidth="1"/>
    <col min="8202" max="8205" width="3.42578125" style="47" customWidth="1"/>
    <col min="8206" max="8206" width="3.7109375" style="47" customWidth="1"/>
    <col min="8207" max="8213" width="3.42578125" style="47" customWidth="1"/>
    <col min="8214" max="8214" width="3.7109375" style="47" customWidth="1"/>
    <col min="8215" max="8220" width="3.42578125" style="47" customWidth="1"/>
    <col min="8221" max="8223" width="3.7109375" style="47" customWidth="1"/>
    <col min="8224" max="8448" width="9.140625" style="47"/>
    <col min="8449" max="8457" width="3.7109375" style="47" customWidth="1"/>
    <col min="8458" max="8461" width="3.42578125" style="47" customWidth="1"/>
    <col min="8462" max="8462" width="3.7109375" style="47" customWidth="1"/>
    <col min="8463" max="8469" width="3.42578125" style="47" customWidth="1"/>
    <col min="8470" max="8470" width="3.7109375" style="47" customWidth="1"/>
    <col min="8471" max="8476" width="3.42578125" style="47" customWidth="1"/>
    <col min="8477" max="8479" width="3.7109375" style="47" customWidth="1"/>
    <col min="8480" max="8704" width="9.140625" style="47"/>
    <col min="8705" max="8713" width="3.7109375" style="47" customWidth="1"/>
    <col min="8714" max="8717" width="3.42578125" style="47" customWidth="1"/>
    <col min="8718" max="8718" width="3.7109375" style="47" customWidth="1"/>
    <col min="8719" max="8725" width="3.42578125" style="47" customWidth="1"/>
    <col min="8726" max="8726" width="3.7109375" style="47" customWidth="1"/>
    <col min="8727" max="8732" width="3.42578125" style="47" customWidth="1"/>
    <col min="8733" max="8735" width="3.7109375" style="47" customWidth="1"/>
    <col min="8736" max="8960" width="9.140625" style="47"/>
    <col min="8961" max="8969" width="3.7109375" style="47" customWidth="1"/>
    <col min="8970" max="8973" width="3.42578125" style="47" customWidth="1"/>
    <col min="8974" max="8974" width="3.7109375" style="47" customWidth="1"/>
    <col min="8975" max="8981" width="3.42578125" style="47" customWidth="1"/>
    <col min="8982" max="8982" width="3.7109375" style="47" customWidth="1"/>
    <col min="8983" max="8988" width="3.42578125" style="47" customWidth="1"/>
    <col min="8989" max="8991" width="3.7109375" style="47" customWidth="1"/>
    <col min="8992" max="9216" width="9.140625" style="47"/>
    <col min="9217" max="9225" width="3.7109375" style="47" customWidth="1"/>
    <col min="9226" max="9229" width="3.42578125" style="47" customWidth="1"/>
    <col min="9230" max="9230" width="3.7109375" style="47" customWidth="1"/>
    <col min="9231" max="9237" width="3.42578125" style="47" customWidth="1"/>
    <col min="9238" max="9238" width="3.7109375" style="47" customWidth="1"/>
    <col min="9239" max="9244" width="3.42578125" style="47" customWidth="1"/>
    <col min="9245" max="9247" width="3.7109375" style="47" customWidth="1"/>
    <col min="9248" max="9472" width="9.140625" style="47"/>
    <col min="9473" max="9481" width="3.7109375" style="47" customWidth="1"/>
    <col min="9482" max="9485" width="3.42578125" style="47" customWidth="1"/>
    <col min="9486" max="9486" width="3.7109375" style="47" customWidth="1"/>
    <col min="9487" max="9493" width="3.42578125" style="47" customWidth="1"/>
    <col min="9494" max="9494" width="3.7109375" style="47" customWidth="1"/>
    <col min="9495" max="9500" width="3.42578125" style="47" customWidth="1"/>
    <col min="9501" max="9503" width="3.7109375" style="47" customWidth="1"/>
    <col min="9504" max="9728" width="9.140625" style="47"/>
    <col min="9729" max="9737" width="3.7109375" style="47" customWidth="1"/>
    <col min="9738" max="9741" width="3.42578125" style="47" customWidth="1"/>
    <col min="9742" max="9742" width="3.7109375" style="47" customWidth="1"/>
    <col min="9743" max="9749" width="3.42578125" style="47" customWidth="1"/>
    <col min="9750" max="9750" width="3.7109375" style="47" customWidth="1"/>
    <col min="9751" max="9756" width="3.42578125" style="47" customWidth="1"/>
    <col min="9757" max="9759" width="3.7109375" style="47" customWidth="1"/>
    <col min="9760" max="9984" width="9.140625" style="47"/>
    <col min="9985" max="9993" width="3.7109375" style="47" customWidth="1"/>
    <col min="9994" max="9997" width="3.42578125" style="47" customWidth="1"/>
    <col min="9998" max="9998" width="3.7109375" style="47" customWidth="1"/>
    <col min="9999" max="10005" width="3.42578125" style="47" customWidth="1"/>
    <col min="10006" max="10006" width="3.7109375" style="47" customWidth="1"/>
    <col min="10007" max="10012" width="3.42578125" style="47" customWidth="1"/>
    <col min="10013" max="10015" width="3.7109375" style="47" customWidth="1"/>
    <col min="10016" max="10240" width="9.140625" style="47"/>
    <col min="10241" max="10249" width="3.7109375" style="47" customWidth="1"/>
    <col min="10250" max="10253" width="3.42578125" style="47" customWidth="1"/>
    <col min="10254" max="10254" width="3.7109375" style="47" customWidth="1"/>
    <col min="10255" max="10261" width="3.42578125" style="47" customWidth="1"/>
    <col min="10262" max="10262" width="3.7109375" style="47" customWidth="1"/>
    <col min="10263" max="10268" width="3.42578125" style="47" customWidth="1"/>
    <col min="10269" max="10271" width="3.7109375" style="47" customWidth="1"/>
    <col min="10272" max="10496" width="9.140625" style="47"/>
    <col min="10497" max="10505" width="3.7109375" style="47" customWidth="1"/>
    <col min="10506" max="10509" width="3.42578125" style="47" customWidth="1"/>
    <col min="10510" max="10510" width="3.7109375" style="47" customWidth="1"/>
    <col min="10511" max="10517" width="3.42578125" style="47" customWidth="1"/>
    <col min="10518" max="10518" width="3.7109375" style="47" customWidth="1"/>
    <col min="10519" max="10524" width="3.42578125" style="47" customWidth="1"/>
    <col min="10525" max="10527" width="3.7109375" style="47" customWidth="1"/>
    <col min="10528" max="10752" width="9.140625" style="47"/>
    <col min="10753" max="10761" width="3.7109375" style="47" customWidth="1"/>
    <col min="10762" max="10765" width="3.42578125" style="47" customWidth="1"/>
    <col min="10766" max="10766" width="3.7109375" style="47" customWidth="1"/>
    <col min="10767" max="10773" width="3.42578125" style="47" customWidth="1"/>
    <col min="10774" max="10774" width="3.7109375" style="47" customWidth="1"/>
    <col min="10775" max="10780" width="3.42578125" style="47" customWidth="1"/>
    <col min="10781" max="10783" width="3.7109375" style="47" customWidth="1"/>
    <col min="10784" max="11008" width="9.140625" style="47"/>
    <col min="11009" max="11017" width="3.7109375" style="47" customWidth="1"/>
    <col min="11018" max="11021" width="3.42578125" style="47" customWidth="1"/>
    <col min="11022" max="11022" width="3.7109375" style="47" customWidth="1"/>
    <col min="11023" max="11029" width="3.42578125" style="47" customWidth="1"/>
    <col min="11030" max="11030" width="3.7109375" style="47" customWidth="1"/>
    <col min="11031" max="11036" width="3.42578125" style="47" customWidth="1"/>
    <col min="11037" max="11039" width="3.7109375" style="47" customWidth="1"/>
    <col min="11040" max="11264" width="9.140625" style="47"/>
    <col min="11265" max="11273" width="3.7109375" style="47" customWidth="1"/>
    <col min="11274" max="11277" width="3.42578125" style="47" customWidth="1"/>
    <col min="11278" max="11278" width="3.7109375" style="47" customWidth="1"/>
    <col min="11279" max="11285" width="3.42578125" style="47" customWidth="1"/>
    <col min="11286" max="11286" width="3.7109375" style="47" customWidth="1"/>
    <col min="11287" max="11292" width="3.42578125" style="47" customWidth="1"/>
    <col min="11293" max="11295" width="3.7109375" style="47" customWidth="1"/>
    <col min="11296" max="11520" width="9.140625" style="47"/>
    <col min="11521" max="11529" width="3.7109375" style="47" customWidth="1"/>
    <col min="11530" max="11533" width="3.42578125" style="47" customWidth="1"/>
    <col min="11534" max="11534" width="3.7109375" style="47" customWidth="1"/>
    <col min="11535" max="11541" width="3.42578125" style="47" customWidth="1"/>
    <col min="11542" max="11542" width="3.7109375" style="47" customWidth="1"/>
    <col min="11543" max="11548" width="3.42578125" style="47" customWidth="1"/>
    <col min="11549" max="11551" width="3.7109375" style="47" customWidth="1"/>
    <col min="11552" max="11776" width="9.140625" style="47"/>
    <col min="11777" max="11785" width="3.7109375" style="47" customWidth="1"/>
    <col min="11786" max="11789" width="3.42578125" style="47" customWidth="1"/>
    <col min="11790" max="11790" width="3.7109375" style="47" customWidth="1"/>
    <col min="11791" max="11797" width="3.42578125" style="47" customWidth="1"/>
    <col min="11798" max="11798" width="3.7109375" style="47" customWidth="1"/>
    <col min="11799" max="11804" width="3.42578125" style="47" customWidth="1"/>
    <col min="11805" max="11807" width="3.7109375" style="47" customWidth="1"/>
    <col min="11808" max="12032" width="9.140625" style="47"/>
    <col min="12033" max="12041" width="3.7109375" style="47" customWidth="1"/>
    <col min="12042" max="12045" width="3.42578125" style="47" customWidth="1"/>
    <col min="12046" max="12046" width="3.7109375" style="47" customWidth="1"/>
    <col min="12047" max="12053" width="3.42578125" style="47" customWidth="1"/>
    <col min="12054" max="12054" width="3.7109375" style="47" customWidth="1"/>
    <col min="12055" max="12060" width="3.42578125" style="47" customWidth="1"/>
    <col min="12061" max="12063" width="3.7109375" style="47" customWidth="1"/>
    <col min="12064" max="12288" width="9.140625" style="47"/>
    <col min="12289" max="12297" width="3.7109375" style="47" customWidth="1"/>
    <col min="12298" max="12301" width="3.42578125" style="47" customWidth="1"/>
    <col min="12302" max="12302" width="3.7109375" style="47" customWidth="1"/>
    <col min="12303" max="12309" width="3.42578125" style="47" customWidth="1"/>
    <col min="12310" max="12310" width="3.7109375" style="47" customWidth="1"/>
    <col min="12311" max="12316" width="3.42578125" style="47" customWidth="1"/>
    <col min="12317" max="12319" width="3.7109375" style="47" customWidth="1"/>
    <col min="12320" max="12544" width="9.140625" style="47"/>
    <col min="12545" max="12553" width="3.7109375" style="47" customWidth="1"/>
    <col min="12554" max="12557" width="3.42578125" style="47" customWidth="1"/>
    <col min="12558" max="12558" width="3.7109375" style="47" customWidth="1"/>
    <col min="12559" max="12565" width="3.42578125" style="47" customWidth="1"/>
    <col min="12566" max="12566" width="3.7109375" style="47" customWidth="1"/>
    <col min="12567" max="12572" width="3.42578125" style="47" customWidth="1"/>
    <col min="12573" max="12575" width="3.7109375" style="47" customWidth="1"/>
    <col min="12576" max="12800" width="9.140625" style="47"/>
    <col min="12801" max="12809" width="3.7109375" style="47" customWidth="1"/>
    <col min="12810" max="12813" width="3.42578125" style="47" customWidth="1"/>
    <col min="12814" max="12814" width="3.7109375" style="47" customWidth="1"/>
    <col min="12815" max="12821" width="3.42578125" style="47" customWidth="1"/>
    <col min="12822" max="12822" width="3.7109375" style="47" customWidth="1"/>
    <col min="12823" max="12828" width="3.42578125" style="47" customWidth="1"/>
    <col min="12829" max="12831" width="3.7109375" style="47" customWidth="1"/>
    <col min="12832" max="13056" width="9.140625" style="47"/>
    <col min="13057" max="13065" width="3.7109375" style="47" customWidth="1"/>
    <col min="13066" max="13069" width="3.42578125" style="47" customWidth="1"/>
    <col min="13070" max="13070" width="3.7109375" style="47" customWidth="1"/>
    <col min="13071" max="13077" width="3.42578125" style="47" customWidth="1"/>
    <col min="13078" max="13078" width="3.7109375" style="47" customWidth="1"/>
    <col min="13079" max="13084" width="3.42578125" style="47" customWidth="1"/>
    <col min="13085" max="13087" width="3.7109375" style="47" customWidth="1"/>
    <col min="13088" max="13312" width="9.140625" style="47"/>
    <col min="13313" max="13321" width="3.7109375" style="47" customWidth="1"/>
    <col min="13322" max="13325" width="3.42578125" style="47" customWidth="1"/>
    <col min="13326" max="13326" width="3.7109375" style="47" customWidth="1"/>
    <col min="13327" max="13333" width="3.42578125" style="47" customWidth="1"/>
    <col min="13334" max="13334" width="3.7109375" style="47" customWidth="1"/>
    <col min="13335" max="13340" width="3.42578125" style="47" customWidth="1"/>
    <col min="13341" max="13343" width="3.7109375" style="47" customWidth="1"/>
    <col min="13344" max="13568" width="9.140625" style="47"/>
    <col min="13569" max="13577" width="3.7109375" style="47" customWidth="1"/>
    <col min="13578" max="13581" width="3.42578125" style="47" customWidth="1"/>
    <col min="13582" max="13582" width="3.7109375" style="47" customWidth="1"/>
    <col min="13583" max="13589" width="3.42578125" style="47" customWidth="1"/>
    <col min="13590" max="13590" width="3.7109375" style="47" customWidth="1"/>
    <col min="13591" max="13596" width="3.42578125" style="47" customWidth="1"/>
    <col min="13597" max="13599" width="3.7109375" style="47" customWidth="1"/>
    <col min="13600" max="13824" width="9.140625" style="47"/>
    <col min="13825" max="13833" width="3.7109375" style="47" customWidth="1"/>
    <col min="13834" max="13837" width="3.42578125" style="47" customWidth="1"/>
    <col min="13838" max="13838" width="3.7109375" style="47" customWidth="1"/>
    <col min="13839" max="13845" width="3.42578125" style="47" customWidth="1"/>
    <col min="13846" max="13846" width="3.7109375" style="47" customWidth="1"/>
    <col min="13847" max="13852" width="3.42578125" style="47" customWidth="1"/>
    <col min="13853" max="13855" width="3.7109375" style="47" customWidth="1"/>
    <col min="13856" max="14080" width="9.140625" style="47"/>
    <col min="14081" max="14089" width="3.7109375" style="47" customWidth="1"/>
    <col min="14090" max="14093" width="3.42578125" style="47" customWidth="1"/>
    <col min="14094" max="14094" width="3.7109375" style="47" customWidth="1"/>
    <col min="14095" max="14101" width="3.42578125" style="47" customWidth="1"/>
    <col min="14102" max="14102" width="3.7109375" style="47" customWidth="1"/>
    <col min="14103" max="14108" width="3.42578125" style="47" customWidth="1"/>
    <col min="14109" max="14111" width="3.7109375" style="47" customWidth="1"/>
    <col min="14112" max="14336" width="9.140625" style="47"/>
    <col min="14337" max="14345" width="3.7109375" style="47" customWidth="1"/>
    <col min="14346" max="14349" width="3.42578125" style="47" customWidth="1"/>
    <col min="14350" max="14350" width="3.7109375" style="47" customWidth="1"/>
    <col min="14351" max="14357" width="3.42578125" style="47" customWidth="1"/>
    <col min="14358" max="14358" width="3.7109375" style="47" customWidth="1"/>
    <col min="14359" max="14364" width="3.42578125" style="47" customWidth="1"/>
    <col min="14365" max="14367" width="3.7109375" style="47" customWidth="1"/>
    <col min="14368" max="14592" width="9.140625" style="47"/>
    <col min="14593" max="14601" width="3.7109375" style="47" customWidth="1"/>
    <col min="14602" max="14605" width="3.42578125" style="47" customWidth="1"/>
    <col min="14606" max="14606" width="3.7109375" style="47" customWidth="1"/>
    <col min="14607" max="14613" width="3.42578125" style="47" customWidth="1"/>
    <col min="14614" max="14614" width="3.7109375" style="47" customWidth="1"/>
    <col min="14615" max="14620" width="3.42578125" style="47" customWidth="1"/>
    <col min="14621" max="14623" width="3.7109375" style="47" customWidth="1"/>
    <col min="14624" max="14848" width="9.140625" style="47"/>
    <col min="14849" max="14857" width="3.7109375" style="47" customWidth="1"/>
    <col min="14858" max="14861" width="3.42578125" style="47" customWidth="1"/>
    <col min="14862" max="14862" width="3.7109375" style="47" customWidth="1"/>
    <col min="14863" max="14869" width="3.42578125" style="47" customWidth="1"/>
    <col min="14870" max="14870" width="3.7109375" style="47" customWidth="1"/>
    <col min="14871" max="14876" width="3.42578125" style="47" customWidth="1"/>
    <col min="14877" max="14879" width="3.7109375" style="47" customWidth="1"/>
    <col min="14880" max="15104" width="9.140625" style="47"/>
    <col min="15105" max="15113" width="3.7109375" style="47" customWidth="1"/>
    <col min="15114" max="15117" width="3.42578125" style="47" customWidth="1"/>
    <col min="15118" max="15118" width="3.7109375" style="47" customWidth="1"/>
    <col min="15119" max="15125" width="3.42578125" style="47" customWidth="1"/>
    <col min="15126" max="15126" width="3.7109375" style="47" customWidth="1"/>
    <col min="15127" max="15132" width="3.42578125" style="47" customWidth="1"/>
    <col min="15133" max="15135" width="3.7109375" style="47" customWidth="1"/>
    <col min="15136" max="15360" width="9.140625" style="47"/>
    <col min="15361" max="15369" width="3.7109375" style="47" customWidth="1"/>
    <col min="15370" max="15373" width="3.42578125" style="47" customWidth="1"/>
    <col min="15374" max="15374" width="3.7109375" style="47" customWidth="1"/>
    <col min="15375" max="15381" width="3.42578125" style="47" customWidth="1"/>
    <col min="15382" max="15382" width="3.7109375" style="47" customWidth="1"/>
    <col min="15383" max="15388" width="3.42578125" style="47" customWidth="1"/>
    <col min="15389" max="15391" width="3.7109375" style="47" customWidth="1"/>
    <col min="15392" max="15616" width="9.140625" style="47"/>
    <col min="15617" max="15625" width="3.7109375" style="47" customWidth="1"/>
    <col min="15626" max="15629" width="3.42578125" style="47" customWidth="1"/>
    <col min="15630" max="15630" width="3.7109375" style="47" customWidth="1"/>
    <col min="15631" max="15637" width="3.42578125" style="47" customWidth="1"/>
    <col min="15638" max="15638" width="3.7109375" style="47" customWidth="1"/>
    <col min="15639" max="15644" width="3.42578125" style="47" customWidth="1"/>
    <col min="15645" max="15647" width="3.7109375" style="47" customWidth="1"/>
    <col min="15648" max="15872" width="9.140625" style="47"/>
    <col min="15873" max="15881" width="3.7109375" style="47" customWidth="1"/>
    <col min="15882" max="15885" width="3.42578125" style="47" customWidth="1"/>
    <col min="15886" max="15886" width="3.7109375" style="47" customWidth="1"/>
    <col min="15887" max="15893" width="3.42578125" style="47" customWidth="1"/>
    <col min="15894" max="15894" width="3.7109375" style="47" customWidth="1"/>
    <col min="15895" max="15900" width="3.42578125" style="47" customWidth="1"/>
    <col min="15901" max="15903" width="3.7109375" style="47" customWidth="1"/>
    <col min="15904" max="16128" width="9.140625" style="47"/>
    <col min="16129" max="16137" width="3.7109375" style="47" customWidth="1"/>
    <col min="16138" max="16141" width="3.42578125" style="47" customWidth="1"/>
    <col min="16142" max="16142" width="3.7109375" style="47" customWidth="1"/>
    <col min="16143" max="16149" width="3.42578125" style="47" customWidth="1"/>
    <col min="16150" max="16150" width="3.7109375" style="47" customWidth="1"/>
    <col min="16151" max="16156" width="3.42578125" style="47" customWidth="1"/>
    <col min="16157" max="16159" width="3.7109375" style="47" customWidth="1"/>
    <col min="16160" max="16384" width="9.140625" style="47"/>
  </cols>
  <sheetData>
    <row r="1" spans="1:30" ht="13.5" customHeight="1"/>
    <row r="2" spans="1:30" ht="14.1" customHeight="1"/>
    <row r="3" spans="1:30" ht="35.450000000000003" customHeight="1">
      <c r="A3" s="372" t="s">
        <v>73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</row>
    <row r="4" spans="1:30" s="49" customFormat="1" ht="20.100000000000001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30" s="49" customFormat="1" ht="24" customHeight="1">
      <c r="A5" s="50"/>
      <c r="B5" s="50"/>
      <c r="C5" s="169" t="s">
        <v>74</v>
      </c>
      <c r="D5" s="169"/>
      <c r="E5" s="170"/>
      <c r="F5" s="169"/>
      <c r="G5" s="170"/>
      <c r="H5" s="170"/>
      <c r="I5" s="171" t="s">
        <v>75</v>
      </c>
      <c r="J5" s="172" t="str">
        <f>cert</f>
        <v>SPR17xxxx</v>
      </c>
      <c r="K5" s="173"/>
      <c r="L5" s="173"/>
      <c r="M5" s="172"/>
      <c r="N5" s="172"/>
      <c r="O5" s="172"/>
      <c r="P5" s="172"/>
      <c r="Q5" s="172"/>
      <c r="R5" s="173"/>
      <c r="S5" s="173"/>
      <c r="T5" s="173"/>
      <c r="U5" s="173"/>
      <c r="V5" s="173"/>
      <c r="W5" s="173"/>
      <c r="Z5" s="208" t="s">
        <v>133</v>
      </c>
    </row>
    <row r="6" spans="1:30" s="49" customFormat="1" ht="24" customHeight="1">
      <c r="A6" s="50"/>
      <c r="B6" s="50"/>
      <c r="C6" s="170"/>
      <c r="D6" s="170"/>
      <c r="E6" s="170"/>
      <c r="F6" s="169"/>
      <c r="G6" s="174"/>
      <c r="H6" s="174"/>
      <c r="I6" s="169"/>
      <c r="J6" s="172"/>
      <c r="K6" s="173"/>
      <c r="L6" s="173"/>
      <c r="M6" s="172"/>
      <c r="N6" s="172"/>
      <c r="O6" s="172"/>
      <c r="P6" s="172"/>
      <c r="Q6" s="172"/>
      <c r="R6" s="173"/>
      <c r="S6" s="173"/>
      <c r="T6" s="173"/>
      <c r="U6" s="173"/>
      <c r="V6" s="173"/>
      <c r="W6" s="173"/>
      <c r="X6" s="173"/>
    </row>
    <row r="7" spans="1:30" s="49" customFormat="1" ht="24" customHeight="1">
      <c r="A7" s="50"/>
      <c r="B7" s="50"/>
      <c r="C7" s="175" t="s">
        <v>76</v>
      </c>
      <c r="D7" s="175"/>
      <c r="E7" s="170"/>
      <c r="F7" s="170"/>
      <c r="G7" s="170"/>
      <c r="H7" s="170"/>
      <c r="I7" s="171" t="s">
        <v>75</v>
      </c>
      <c r="J7" s="176" t="str">
        <f>custo</f>
        <v>ABC Ltd.</v>
      </c>
      <c r="K7" s="173"/>
      <c r="L7" s="173"/>
      <c r="M7" s="177"/>
      <c r="N7" s="177"/>
      <c r="O7" s="177"/>
      <c r="P7" s="177"/>
      <c r="Q7" s="177"/>
      <c r="R7" s="177"/>
      <c r="S7" s="177"/>
      <c r="T7" s="177"/>
      <c r="U7" s="177"/>
      <c r="V7" s="178"/>
      <c r="W7" s="178"/>
      <c r="X7" s="178"/>
      <c r="Y7" s="65"/>
      <c r="Z7" s="65"/>
      <c r="AA7" s="65"/>
    </row>
    <row r="8" spans="1:30" s="49" customFormat="1" ht="24" customHeight="1">
      <c r="A8" s="50"/>
      <c r="B8" s="50"/>
      <c r="C8" s="170"/>
      <c r="D8" s="175"/>
      <c r="E8" s="175"/>
      <c r="F8" s="170"/>
      <c r="G8" s="170"/>
      <c r="H8" s="170"/>
      <c r="I8" s="171"/>
      <c r="J8" s="218" t="str">
        <f>Data!G6</f>
        <v>88/115</v>
      </c>
      <c r="K8" s="173"/>
      <c r="L8" s="176"/>
      <c r="M8" s="179"/>
      <c r="N8" s="179"/>
      <c r="O8" s="177"/>
      <c r="P8" s="177"/>
      <c r="Q8" s="177"/>
      <c r="R8" s="177"/>
      <c r="S8" s="177"/>
      <c r="T8" s="177"/>
      <c r="U8" s="177"/>
      <c r="V8" s="177"/>
      <c r="W8" s="178"/>
      <c r="X8" s="178"/>
      <c r="Y8" s="64"/>
      <c r="Z8" s="64"/>
      <c r="AA8" s="64"/>
    </row>
    <row r="9" spans="1:30" s="49" customFormat="1" ht="24" customHeight="1">
      <c r="A9" s="50"/>
      <c r="B9" s="50"/>
      <c r="C9" s="58"/>
      <c r="D9" s="60"/>
      <c r="E9" s="60"/>
      <c r="F9" s="58"/>
      <c r="G9" s="58"/>
      <c r="H9" s="58"/>
      <c r="I9" s="58"/>
      <c r="J9" s="219"/>
      <c r="L9" s="61"/>
      <c r="M9" s="67"/>
      <c r="N9" s="67"/>
      <c r="O9" s="62"/>
      <c r="P9" s="62"/>
      <c r="Q9" s="62"/>
      <c r="R9" s="62"/>
      <c r="S9" s="62"/>
      <c r="T9" s="62"/>
      <c r="U9" s="62"/>
      <c r="V9" s="62"/>
      <c r="W9" s="63"/>
      <c r="X9" s="64"/>
      <c r="Y9" s="64"/>
      <c r="Z9" s="64"/>
      <c r="AA9" s="64"/>
    </row>
    <row r="10" spans="1:30" s="65" customFormat="1" ht="15" customHeight="1">
      <c r="A10" s="68"/>
      <c r="B10" s="68"/>
      <c r="C10" s="69"/>
      <c r="D10" s="69"/>
      <c r="E10" s="69"/>
      <c r="F10" s="69"/>
      <c r="G10" s="69"/>
      <c r="H10" s="180"/>
      <c r="I10" s="69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  <c r="V10" s="74"/>
      <c r="W10" s="73"/>
      <c r="X10" s="181"/>
      <c r="Y10" s="182"/>
      <c r="Z10" s="182"/>
      <c r="AA10" s="182"/>
      <c r="AB10" s="198"/>
      <c r="AC10" s="198"/>
    </row>
    <row r="11" spans="1:30" s="49" customFormat="1" ht="15" customHeight="1">
      <c r="A11" s="50"/>
      <c r="B11" s="50"/>
      <c r="C11" s="60"/>
      <c r="D11" s="60"/>
      <c r="E11" s="60"/>
      <c r="F11" s="60"/>
      <c r="G11" s="60"/>
      <c r="H11" s="79"/>
      <c r="I11" s="183"/>
      <c r="J11" s="63"/>
      <c r="K11" s="67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3"/>
      <c r="W11" s="55"/>
      <c r="Y11" s="78"/>
      <c r="Z11" s="78"/>
      <c r="AA11" s="78"/>
    </row>
    <row r="12" spans="1:30" s="49" customFormat="1" ht="24" customHeight="1">
      <c r="A12" s="50"/>
      <c r="B12" s="50"/>
      <c r="C12" s="175" t="s">
        <v>77</v>
      </c>
      <c r="D12" s="60"/>
      <c r="E12" s="60"/>
      <c r="F12" s="60"/>
      <c r="G12" s="58"/>
      <c r="H12" s="58"/>
      <c r="I12" s="79" t="s">
        <v>75</v>
      </c>
      <c r="J12" s="176" t="str">
        <f>Data!G7</f>
        <v>Electronic Balance</v>
      </c>
      <c r="K12" s="173"/>
      <c r="L12" s="176"/>
      <c r="M12" s="56"/>
      <c r="N12" s="56"/>
      <c r="P12" s="56"/>
      <c r="Q12" s="61"/>
      <c r="R12" s="61"/>
      <c r="S12" s="61"/>
      <c r="T12" s="61"/>
      <c r="U12" s="61"/>
      <c r="V12" s="61"/>
      <c r="W12" s="61"/>
      <c r="X12" s="80"/>
      <c r="Y12" s="80"/>
      <c r="Z12" s="80"/>
      <c r="AA12" s="80"/>
    </row>
    <row r="13" spans="1:30" s="49" customFormat="1" ht="24" customHeight="1">
      <c r="A13" s="50"/>
      <c r="B13" s="50"/>
      <c r="C13" s="184" t="s">
        <v>78</v>
      </c>
      <c r="D13" s="60"/>
      <c r="E13" s="60"/>
      <c r="F13" s="60"/>
      <c r="G13" s="58"/>
      <c r="H13" s="58"/>
      <c r="I13" s="79" t="s">
        <v>75</v>
      </c>
      <c r="J13" s="176" t="str">
        <f>Data!U7</f>
        <v>AA</v>
      </c>
      <c r="K13" s="173"/>
      <c r="L13" s="176"/>
      <c r="M13" s="56"/>
      <c r="N13" s="56"/>
      <c r="P13" s="56"/>
      <c r="Q13" s="61"/>
      <c r="R13" s="61"/>
      <c r="S13" s="56"/>
      <c r="T13" s="56"/>
      <c r="U13" s="56"/>
      <c r="V13" s="56"/>
      <c r="W13" s="56"/>
    </row>
    <row r="14" spans="1:30" s="49" customFormat="1" ht="24" customHeight="1">
      <c r="A14" s="50"/>
      <c r="B14" s="50"/>
      <c r="C14" s="175" t="s">
        <v>79</v>
      </c>
      <c r="D14" s="60"/>
      <c r="E14" s="60"/>
      <c r="F14" s="60"/>
      <c r="G14" s="58"/>
      <c r="H14" s="58"/>
      <c r="I14" s="79" t="s">
        <v>75</v>
      </c>
      <c r="J14" s="185" t="str">
        <f>Data!D8</f>
        <v>AB</v>
      </c>
      <c r="K14" s="176"/>
      <c r="L14" s="176"/>
      <c r="M14" s="56"/>
      <c r="N14" s="56"/>
      <c r="P14" s="56"/>
      <c r="Q14" s="61"/>
      <c r="R14" s="61"/>
      <c r="S14" s="61"/>
      <c r="T14" s="61"/>
      <c r="U14" s="61"/>
      <c r="V14" s="60"/>
      <c r="W14" s="56"/>
      <c r="X14" s="80"/>
    </row>
    <row r="15" spans="1:30" s="49" customFormat="1" ht="24" customHeight="1">
      <c r="A15" s="50"/>
      <c r="B15" s="50"/>
      <c r="C15" s="175" t="s">
        <v>80</v>
      </c>
      <c r="D15" s="60"/>
      <c r="E15" s="60"/>
      <c r="F15" s="60"/>
      <c r="G15" s="58"/>
      <c r="H15" s="58"/>
      <c r="I15" s="79" t="s">
        <v>75</v>
      </c>
      <c r="J15" s="374">
        <f>Data!P8</f>
        <v>1234567</v>
      </c>
      <c r="K15" s="374"/>
      <c r="L15" s="374"/>
      <c r="M15" s="186"/>
      <c r="N15" s="186"/>
      <c r="P15" s="56"/>
      <c r="Q15" s="56"/>
      <c r="R15" s="61"/>
      <c r="S15" s="56"/>
      <c r="T15" s="56"/>
      <c r="U15" s="56"/>
      <c r="V15" s="56"/>
      <c r="W15" s="56"/>
    </row>
    <row r="16" spans="1:30" s="49" customFormat="1" ht="24" customHeight="1">
      <c r="A16" s="50"/>
      <c r="B16" s="50"/>
      <c r="C16" s="175" t="s">
        <v>81</v>
      </c>
      <c r="D16" s="60"/>
      <c r="E16" s="60"/>
      <c r="F16" s="60"/>
      <c r="G16" s="58"/>
      <c r="H16" s="58"/>
      <c r="I16" s="79" t="s">
        <v>75</v>
      </c>
      <c r="J16" s="187" t="str">
        <f>Data!Y8</f>
        <v>N/A</v>
      </c>
      <c r="K16" s="176"/>
      <c r="L16" s="188"/>
      <c r="M16" s="56"/>
      <c r="N16" s="56"/>
      <c r="P16" s="56"/>
      <c r="Q16" s="56"/>
      <c r="R16" s="61"/>
      <c r="S16" s="61"/>
      <c r="T16" s="61"/>
      <c r="U16" s="61"/>
      <c r="V16" s="82"/>
      <c r="W16" s="56"/>
      <c r="X16" s="80"/>
    </row>
    <row r="17" spans="1:36" s="49" customFormat="1" ht="18.95" customHeight="1">
      <c r="A17" s="50"/>
      <c r="B17" s="50"/>
      <c r="C17" s="60"/>
      <c r="D17" s="60"/>
      <c r="E17" s="60"/>
      <c r="F17" s="60"/>
      <c r="G17" s="58"/>
      <c r="H17" s="58"/>
      <c r="I17" s="82"/>
      <c r="J17" s="165"/>
      <c r="K17" s="56"/>
      <c r="L17" s="56"/>
      <c r="M17" s="61"/>
      <c r="N17" s="61"/>
      <c r="P17" s="56"/>
      <c r="Q17" s="61"/>
      <c r="R17" s="61"/>
      <c r="S17" s="61"/>
      <c r="T17" s="82"/>
      <c r="U17" s="56"/>
      <c r="V17" s="61"/>
      <c r="W17" s="56"/>
    </row>
    <row r="18" spans="1:36" s="49" customFormat="1" ht="24" customHeight="1">
      <c r="A18" s="50"/>
      <c r="B18" s="50"/>
      <c r="C18" s="175" t="s">
        <v>86</v>
      </c>
      <c r="D18" s="175"/>
      <c r="E18" s="60"/>
      <c r="F18" s="60"/>
      <c r="G18" s="60"/>
      <c r="H18" s="60"/>
      <c r="I18" s="166"/>
      <c r="J18" s="61"/>
      <c r="K18" s="61"/>
      <c r="L18" s="58"/>
      <c r="M18" s="189"/>
      <c r="N18" s="189"/>
      <c r="W18" s="56"/>
    </row>
    <row r="19" spans="1:36" s="49" customFormat="1" ht="24" customHeight="1">
      <c r="A19" s="50"/>
      <c r="B19" s="50"/>
      <c r="C19" s="175" t="s">
        <v>87</v>
      </c>
      <c r="D19" s="175"/>
      <c r="E19" s="60"/>
      <c r="F19" s="60"/>
      <c r="G19" s="58"/>
      <c r="H19" s="58"/>
      <c r="J19" s="54" t="s">
        <v>75</v>
      </c>
      <c r="K19" s="190" t="s">
        <v>134</v>
      </c>
      <c r="L19" s="173"/>
      <c r="M19" s="189"/>
      <c r="Q19" s="58"/>
      <c r="R19" s="184" t="s">
        <v>82</v>
      </c>
      <c r="Z19" s="79" t="s">
        <v>75</v>
      </c>
      <c r="AA19" s="375">
        <f>Data!Q2</f>
        <v>42459</v>
      </c>
      <c r="AB19" s="375"/>
      <c r="AC19" s="375"/>
      <c r="AD19" s="375"/>
    </row>
    <row r="20" spans="1:36" s="49" customFormat="1" ht="24" customHeight="1">
      <c r="A20" s="50"/>
      <c r="B20" s="50"/>
      <c r="C20" s="175" t="s">
        <v>88</v>
      </c>
      <c r="D20" s="169"/>
      <c r="E20" s="51"/>
      <c r="F20" s="51"/>
      <c r="G20" s="58"/>
      <c r="H20" s="58"/>
      <c r="J20" s="89" t="s">
        <v>75</v>
      </c>
      <c r="K20" s="191" t="s">
        <v>135</v>
      </c>
      <c r="L20" s="173"/>
      <c r="M20" s="192"/>
      <c r="Q20" s="58"/>
      <c r="R20" s="184" t="s">
        <v>83</v>
      </c>
      <c r="Z20" s="79" t="s">
        <v>75</v>
      </c>
      <c r="AA20" s="375">
        <f>Data!Z2</f>
        <v>42459</v>
      </c>
      <c r="AB20" s="375"/>
      <c r="AC20" s="375"/>
      <c r="AD20" s="375"/>
    </row>
    <row r="21" spans="1:36" s="49" customFormat="1" ht="24" customHeight="1">
      <c r="A21" s="50"/>
      <c r="B21" s="50"/>
      <c r="C21" s="175" t="s">
        <v>89</v>
      </c>
      <c r="D21" s="169"/>
      <c r="E21" s="51"/>
      <c r="F21" s="51"/>
      <c r="G21" s="58"/>
      <c r="H21" s="58"/>
      <c r="J21" s="89" t="s">
        <v>75</v>
      </c>
      <c r="K21" s="190" t="s">
        <v>136</v>
      </c>
      <c r="L21" s="173"/>
      <c r="M21" s="61"/>
      <c r="Q21" s="58"/>
      <c r="R21" s="169" t="s">
        <v>84</v>
      </c>
      <c r="Z21" s="79" t="s">
        <v>75</v>
      </c>
      <c r="AA21" s="376">
        <f>AA20+365</f>
        <v>42824</v>
      </c>
      <c r="AB21" s="376"/>
      <c r="AC21" s="376"/>
      <c r="AD21" s="376"/>
    </row>
    <row r="22" spans="1:36" s="49" customFormat="1" ht="24" customHeight="1">
      <c r="A22" s="50"/>
      <c r="B22" s="50"/>
      <c r="C22" s="175" t="s">
        <v>137</v>
      </c>
      <c r="D22" s="173"/>
      <c r="J22" s="89" t="s">
        <v>75</v>
      </c>
      <c r="K22" s="173" t="s">
        <v>140</v>
      </c>
      <c r="L22" s="173"/>
      <c r="M22" s="56"/>
      <c r="N22" s="56"/>
      <c r="P22" s="56"/>
      <c r="Q22" s="88"/>
      <c r="R22" s="169" t="s">
        <v>138</v>
      </c>
      <c r="S22" s="173"/>
      <c r="T22" s="173"/>
      <c r="U22" s="173"/>
      <c r="X22" s="272"/>
      <c r="Y22" s="272"/>
      <c r="Z22" s="79" t="s">
        <v>75</v>
      </c>
      <c r="AA22" s="379">
        <f>AA20+1</f>
        <v>42460</v>
      </c>
      <c r="AB22" s="379"/>
      <c r="AC22" s="379"/>
      <c r="AD22" s="379"/>
    </row>
    <row r="23" spans="1:36" s="49" customFormat="1" ht="18.95" customHeight="1">
      <c r="A23" s="50"/>
      <c r="B23" s="50"/>
      <c r="M23" s="56"/>
      <c r="N23" s="56"/>
      <c r="P23" s="56"/>
      <c r="Q23" s="56"/>
      <c r="R23" s="56"/>
      <c r="S23" s="56"/>
      <c r="T23" s="56"/>
      <c r="U23" s="56"/>
      <c r="V23" s="56"/>
      <c r="W23" s="56"/>
    </row>
    <row r="24" spans="1:36" s="49" customFormat="1" ht="24" customHeight="1">
      <c r="A24" s="50"/>
      <c r="B24" s="50"/>
      <c r="C24" s="58" t="s">
        <v>90</v>
      </c>
      <c r="D24" s="92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93"/>
      <c r="X24" s="94"/>
      <c r="Y24" s="95"/>
      <c r="Z24" s="95"/>
      <c r="AA24" s="95"/>
    </row>
    <row r="25" spans="1:36" s="49" customFormat="1" ht="24" customHeight="1">
      <c r="A25" s="50"/>
      <c r="B25" s="50"/>
      <c r="C25" s="194" t="s">
        <v>124</v>
      </c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0"/>
    </row>
    <row r="26" spans="1:36" s="49" customFormat="1" ht="24" customHeight="1">
      <c r="A26" s="50"/>
      <c r="B26" s="50"/>
      <c r="C26" s="194" t="s">
        <v>131</v>
      </c>
      <c r="D26" s="56"/>
      <c r="E26" s="50"/>
      <c r="F26" s="50"/>
      <c r="G26" s="50"/>
      <c r="H26" s="167"/>
      <c r="I26" s="16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0"/>
    </row>
    <row r="27" spans="1:36" s="49" customFormat="1" ht="24" customHeight="1">
      <c r="A27" s="50"/>
      <c r="B27" s="50"/>
      <c r="C27" s="194" t="s">
        <v>132</v>
      </c>
      <c r="D27" s="56"/>
      <c r="E27" s="167"/>
      <c r="F27" s="167"/>
      <c r="G27" s="167"/>
      <c r="H27" s="167"/>
      <c r="I27" s="16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0"/>
    </row>
    <row r="28" spans="1:36" s="49" customFormat="1" ht="24" customHeight="1">
      <c r="A28" s="50"/>
      <c r="B28" s="50"/>
      <c r="C28" s="194" t="s">
        <v>125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0"/>
    </row>
    <row r="29" spans="1:36" s="49" customFormat="1" ht="24" customHeight="1">
      <c r="A29" s="50"/>
      <c r="B29" s="50"/>
      <c r="C29" s="194" t="s">
        <v>126</v>
      </c>
      <c r="D29" s="56"/>
    </row>
    <row r="30" spans="1:36" s="49" customFormat="1" ht="24" customHeight="1">
      <c r="A30" s="50"/>
      <c r="B30" s="50"/>
      <c r="C30" s="194" t="s">
        <v>127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0"/>
    </row>
    <row r="31" spans="1:36" s="49" customFormat="1" ht="24" customHeight="1">
      <c r="A31" s="50"/>
      <c r="B31" s="50"/>
      <c r="C31" s="35"/>
      <c r="D31" s="35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0"/>
      <c r="V31" s="50"/>
      <c r="AE31" s="195"/>
      <c r="AF31" s="37"/>
      <c r="AG31" s="28"/>
      <c r="AH31" s="28"/>
      <c r="AI31" s="28"/>
      <c r="AJ31" s="28"/>
    </row>
    <row r="32" spans="1:36" s="49" customFormat="1" ht="24" customHeight="1">
      <c r="A32" s="50"/>
      <c r="B32" s="50"/>
      <c r="C32" s="35"/>
      <c r="D32" s="35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0"/>
      <c r="V32" s="50"/>
      <c r="AE32" s="195"/>
      <c r="AF32" s="37"/>
      <c r="AG32" s="28"/>
      <c r="AH32" s="28"/>
      <c r="AI32" s="28"/>
      <c r="AJ32" s="28"/>
    </row>
    <row r="33" spans="1:36" s="49" customFormat="1" ht="24" customHeight="1">
      <c r="A33" s="50"/>
      <c r="B33" s="50"/>
      <c r="C33" s="35"/>
      <c r="D33" s="35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0"/>
      <c r="V33" s="50"/>
      <c r="AE33" s="195"/>
      <c r="AF33" s="37"/>
      <c r="AG33" s="28"/>
      <c r="AH33" s="28"/>
      <c r="AI33" s="28"/>
      <c r="AJ33" s="28"/>
    </row>
    <row r="34" spans="1:36" s="49" customFormat="1" ht="24" customHeight="1">
      <c r="A34" s="50"/>
      <c r="B34" s="50"/>
      <c r="C34" s="35"/>
      <c r="D34" s="3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0"/>
      <c r="V34" s="50"/>
      <c r="AE34" s="195"/>
      <c r="AF34" s="37"/>
      <c r="AG34" s="28"/>
      <c r="AH34" s="28"/>
      <c r="AI34" s="28"/>
      <c r="AJ34" s="28"/>
    </row>
    <row r="35" spans="1:36" s="49" customFormat="1" ht="24" customHeigh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AE35" s="195"/>
      <c r="AF35" s="37"/>
      <c r="AG35" s="28"/>
      <c r="AH35" s="28"/>
      <c r="AI35" s="28"/>
      <c r="AJ35" s="28"/>
    </row>
    <row r="36" spans="1:36" s="49" customFormat="1" ht="24" customHeight="1">
      <c r="A36" s="50"/>
      <c r="B36" s="50"/>
      <c r="C36" s="169" t="s">
        <v>139</v>
      </c>
      <c r="D36" s="169"/>
      <c r="E36" s="169"/>
      <c r="F36" s="173"/>
      <c r="G36" s="79" t="s">
        <v>75</v>
      </c>
      <c r="H36" s="199" t="str">
        <f>Data!F48</f>
        <v>Mr.Nirut  Loha</v>
      </c>
      <c r="I36" s="173"/>
      <c r="L36" s="173"/>
      <c r="M36" s="173"/>
      <c r="N36" s="169"/>
      <c r="Q36" s="169" t="s">
        <v>91</v>
      </c>
      <c r="R36" s="173"/>
      <c r="S36" s="172"/>
      <c r="V36" s="198"/>
      <c r="W36" s="198"/>
      <c r="X36" s="197"/>
      <c r="Y36" s="197"/>
      <c r="Z36" s="197"/>
      <c r="AA36" s="197"/>
      <c r="AB36" s="197"/>
      <c r="AC36" s="198"/>
      <c r="AE36" s="195"/>
      <c r="AF36" s="37"/>
      <c r="AG36" s="28"/>
      <c r="AH36" s="28"/>
      <c r="AI36" s="28"/>
      <c r="AJ36" s="28"/>
    </row>
    <row r="37" spans="1:36" s="49" customFormat="1" ht="9.9499999999999993" customHeight="1">
      <c r="A37" s="50"/>
      <c r="B37" s="50"/>
      <c r="C37" s="169"/>
      <c r="D37" s="173"/>
      <c r="E37" s="173"/>
      <c r="F37" s="173"/>
      <c r="G37" s="79"/>
      <c r="H37" s="207"/>
      <c r="I37" s="207"/>
      <c r="J37" s="207"/>
      <c r="K37" s="207"/>
      <c r="L37" s="173"/>
      <c r="M37" s="173"/>
      <c r="N37" s="169"/>
      <c r="O37" s="169"/>
      <c r="P37" s="169"/>
      <c r="Q37" s="169"/>
      <c r="R37" s="173"/>
      <c r="S37" s="172"/>
      <c r="T37" s="172"/>
      <c r="U37" s="172"/>
      <c r="V37" s="172"/>
      <c r="W37" s="172"/>
      <c r="X37" s="172"/>
      <c r="Y37" s="65"/>
      <c r="AE37" s="195"/>
      <c r="AF37" s="37"/>
      <c r="AG37" s="28"/>
      <c r="AH37" s="28"/>
      <c r="AI37" s="28"/>
      <c r="AJ37" s="28"/>
    </row>
    <row r="38" spans="1:36" s="49" customFormat="1" ht="24" customHeight="1">
      <c r="A38" s="100"/>
      <c r="B38" s="100"/>
      <c r="H38" s="173" t="s">
        <v>190</v>
      </c>
      <c r="J38" s="200"/>
      <c r="K38" s="173"/>
      <c r="L38" s="173"/>
      <c r="M38" s="173"/>
      <c r="N38" s="173"/>
      <c r="O38" s="173"/>
      <c r="P38" s="201"/>
      <c r="Q38" s="202">
        <v>3</v>
      </c>
      <c r="R38" s="173"/>
      <c r="V38" s="377" t="s">
        <v>189</v>
      </c>
      <c r="W38" s="377"/>
      <c r="X38" s="377"/>
      <c r="Y38" s="377"/>
      <c r="Z38" s="377"/>
      <c r="AA38" s="377"/>
      <c r="AB38" s="377"/>
      <c r="AC38" s="377"/>
      <c r="AE38" s="195"/>
      <c r="AF38" s="37"/>
      <c r="AG38" s="28"/>
      <c r="AH38" s="28"/>
      <c r="AI38" s="28"/>
      <c r="AJ38" s="28"/>
    </row>
    <row r="39" spans="1:36" s="49" customFormat="1" ht="21" customHeight="1">
      <c r="A39" s="50"/>
      <c r="B39" s="50"/>
      <c r="C39" s="173"/>
      <c r="D39" s="173"/>
      <c r="E39" s="173"/>
      <c r="F39" s="173"/>
      <c r="G39" s="173"/>
      <c r="H39" s="196"/>
      <c r="I39" s="196"/>
      <c r="J39" s="196"/>
      <c r="K39" s="173"/>
      <c r="L39" s="173"/>
      <c r="M39" s="172"/>
      <c r="N39" s="172"/>
      <c r="O39" s="173"/>
      <c r="P39" s="173"/>
      <c r="Q39" s="173"/>
      <c r="R39" s="173"/>
      <c r="V39" s="378" t="s">
        <v>92</v>
      </c>
      <c r="W39" s="378"/>
      <c r="X39" s="378"/>
      <c r="Y39" s="378"/>
      <c r="Z39" s="378"/>
      <c r="AA39" s="378"/>
      <c r="AB39" s="378"/>
      <c r="AC39" s="378"/>
      <c r="AD39" s="204"/>
      <c r="AE39" s="205"/>
      <c r="AF39" s="205"/>
      <c r="AG39" s="205"/>
    </row>
    <row r="40" spans="1:36" s="49" customFormat="1" ht="20.100000000000001" customHeight="1">
      <c r="A40" s="50"/>
      <c r="B40" s="50"/>
      <c r="E40" s="55"/>
      <c r="F40" s="55"/>
      <c r="G40" s="55"/>
      <c r="H40" s="55"/>
      <c r="I40" s="55"/>
      <c r="L40" s="68"/>
      <c r="M40" s="50"/>
      <c r="N40" s="50"/>
      <c r="O40" s="50"/>
      <c r="P40" s="166"/>
      <c r="Q40" s="166"/>
      <c r="R40" s="166"/>
      <c r="S40" s="166"/>
      <c r="T40" s="166"/>
      <c r="U40" s="53"/>
      <c r="V40" s="101"/>
      <c r="W40" s="101"/>
      <c r="X40" s="101"/>
      <c r="Y40" s="101"/>
      <c r="Z40" s="101"/>
      <c r="AA40" s="101"/>
    </row>
    <row r="41" spans="1:36" s="49" customFormat="1" ht="16.5" customHeight="1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3"/>
      <c r="O41" s="373"/>
      <c r="P41" s="373"/>
      <c r="Q41" s="373"/>
      <c r="R41" s="373"/>
      <c r="S41" s="373"/>
      <c r="T41" s="373"/>
      <c r="U41" s="373"/>
      <c r="V41" s="373"/>
      <c r="W41" s="102"/>
    </row>
    <row r="42" spans="1:36" ht="18.75" customHeight="1">
      <c r="C42" s="98"/>
      <c r="D42" s="203"/>
      <c r="T42" s="25"/>
      <c r="U42" s="206"/>
    </row>
    <row r="43" spans="1:36" ht="18.75" customHeight="1">
      <c r="C43" s="168"/>
      <c r="D43" s="203"/>
      <c r="T43" s="98"/>
      <c r="U43" s="203"/>
    </row>
    <row r="44" spans="1:36" ht="18.75" customHeight="1">
      <c r="T44" s="98"/>
      <c r="U44" s="203"/>
    </row>
    <row r="45" spans="1:36" ht="18.75" customHeight="1">
      <c r="T45" s="168"/>
      <c r="U45" s="203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F14" sqref="F14"/>
    </sheetView>
  </sheetViews>
  <sheetFormatPr defaultColWidth="9.140625" defaultRowHeight="20.25"/>
  <cols>
    <col min="1" max="7" width="4.28515625" style="47" customWidth="1"/>
    <col min="8" max="8" width="3.42578125" style="47" customWidth="1"/>
    <col min="9" max="23" width="4.28515625" style="47" customWidth="1"/>
    <col min="24" max="29" width="4.5703125" style="47" customWidth="1"/>
    <col min="30" max="256" width="9.140625" style="47"/>
    <col min="257" max="263" width="4.28515625" style="47" customWidth="1"/>
    <col min="264" max="264" width="3.42578125" style="47" customWidth="1"/>
    <col min="265" max="279" width="4.28515625" style="47" customWidth="1"/>
    <col min="280" max="285" width="4.5703125" style="47" customWidth="1"/>
    <col min="286" max="512" width="9.140625" style="47"/>
    <col min="513" max="519" width="4.28515625" style="47" customWidth="1"/>
    <col min="520" max="520" width="3.42578125" style="47" customWidth="1"/>
    <col min="521" max="535" width="4.28515625" style="47" customWidth="1"/>
    <col min="536" max="541" width="4.5703125" style="47" customWidth="1"/>
    <col min="542" max="768" width="9.140625" style="47"/>
    <col min="769" max="775" width="4.28515625" style="47" customWidth="1"/>
    <col min="776" max="776" width="3.42578125" style="47" customWidth="1"/>
    <col min="777" max="791" width="4.28515625" style="47" customWidth="1"/>
    <col min="792" max="797" width="4.5703125" style="47" customWidth="1"/>
    <col min="798" max="1024" width="9.140625" style="47"/>
    <col min="1025" max="1031" width="4.28515625" style="47" customWidth="1"/>
    <col min="1032" max="1032" width="3.42578125" style="47" customWidth="1"/>
    <col min="1033" max="1047" width="4.28515625" style="47" customWidth="1"/>
    <col min="1048" max="1053" width="4.5703125" style="47" customWidth="1"/>
    <col min="1054" max="1280" width="9.140625" style="47"/>
    <col min="1281" max="1287" width="4.28515625" style="47" customWidth="1"/>
    <col min="1288" max="1288" width="3.42578125" style="47" customWidth="1"/>
    <col min="1289" max="1303" width="4.28515625" style="47" customWidth="1"/>
    <col min="1304" max="1309" width="4.5703125" style="47" customWidth="1"/>
    <col min="1310" max="1536" width="9.140625" style="47"/>
    <col min="1537" max="1543" width="4.28515625" style="47" customWidth="1"/>
    <col min="1544" max="1544" width="3.42578125" style="47" customWidth="1"/>
    <col min="1545" max="1559" width="4.28515625" style="47" customWidth="1"/>
    <col min="1560" max="1565" width="4.5703125" style="47" customWidth="1"/>
    <col min="1566" max="1792" width="9.140625" style="47"/>
    <col min="1793" max="1799" width="4.28515625" style="47" customWidth="1"/>
    <col min="1800" max="1800" width="3.42578125" style="47" customWidth="1"/>
    <col min="1801" max="1815" width="4.28515625" style="47" customWidth="1"/>
    <col min="1816" max="1821" width="4.5703125" style="47" customWidth="1"/>
    <col min="1822" max="2048" width="9.140625" style="47"/>
    <col min="2049" max="2055" width="4.28515625" style="47" customWidth="1"/>
    <col min="2056" max="2056" width="3.42578125" style="47" customWidth="1"/>
    <col min="2057" max="2071" width="4.28515625" style="47" customWidth="1"/>
    <col min="2072" max="2077" width="4.5703125" style="47" customWidth="1"/>
    <col min="2078" max="2304" width="9.140625" style="47"/>
    <col min="2305" max="2311" width="4.28515625" style="47" customWidth="1"/>
    <col min="2312" max="2312" width="3.42578125" style="47" customWidth="1"/>
    <col min="2313" max="2327" width="4.28515625" style="47" customWidth="1"/>
    <col min="2328" max="2333" width="4.5703125" style="47" customWidth="1"/>
    <col min="2334" max="2560" width="9.140625" style="47"/>
    <col min="2561" max="2567" width="4.28515625" style="47" customWidth="1"/>
    <col min="2568" max="2568" width="3.42578125" style="47" customWidth="1"/>
    <col min="2569" max="2583" width="4.28515625" style="47" customWidth="1"/>
    <col min="2584" max="2589" width="4.5703125" style="47" customWidth="1"/>
    <col min="2590" max="2816" width="9.140625" style="47"/>
    <col min="2817" max="2823" width="4.28515625" style="47" customWidth="1"/>
    <col min="2824" max="2824" width="3.42578125" style="47" customWidth="1"/>
    <col min="2825" max="2839" width="4.28515625" style="47" customWidth="1"/>
    <col min="2840" max="2845" width="4.5703125" style="47" customWidth="1"/>
    <col min="2846" max="3072" width="9.140625" style="47"/>
    <col min="3073" max="3079" width="4.28515625" style="47" customWidth="1"/>
    <col min="3080" max="3080" width="3.42578125" style="47" customWidth="1"/>
    <col min="3081" max="3095" width="4.28515625" style="47" customWidth="1"/>
    <col min="3096" max="3101" width="4.5703125" style="47" customWidth="1"/>
    <col min="3102" max="3328" width="9.140625" style="47"/>
    <col min="3329" max="3335" width="4.28515625" style="47" customWidth="1"/>
    <col min="3336" max="3336" width="3.42578125" style="47" customWidth="1"/>
    <col min="3337" max="3351" width="4.28515625" style="47" customWidth="1"/>
    <col min="3352" max="3357" width="4.5703125" style="47" customWidth="1"/>
    <col min="3358" max="3584" width="9.140625" style="47"/>
    <col min="3585" max="3591" width="4.28515625" style="47" customWidth="1"/>
    <col min="3592" max="3592" width="3.42578125" style="47" customWidth="1"/>
    <col min="3593" max="3607" width="4.28515625" style="47" customWidth="1"/>
    <col min="3608" max="3613" width="4.5703125" style="47" customWidth="1"/>
    <col min="3614" max="3840" width="9.140625" style="47"/>
    <col min="3841" max="3847" width="4.28515625" style="47" customWidth="1"/>
    <col min="3848" max="3848" width="3.42578125" style="47" customWidth="1"/>
    <col min="3849" max="3863" width="4.28515625" style="47" customWidth="1"/>
    <col min="3864" max="3869" width="4.5703125" style="47" customWidth="1"/>
    <col min="3870" max="4096" width="9.140625" style="47"/>
    <col min="4097" max="4103" width="4.28515625" style="47" customWidth="1"/>
    <col min="4104" max="4104" width="3.42578125" style="47" customWidth="1"/>
    <col min="4105" max="4119" width="4.28515625" style="47" customWidth="1"/>
    <col min="4120" max="4125" width="4.5703125" style="47" customWidth="1"/>
    <col min="4126" max="4352" width="9.140625" style="47"/>
    <col min="4353" max="4359" width="4.28515625" style="47" customWidth="1"/>
    <col min="4360" max="4360" width="3.42578125" style="47" customWidth="1"/>
    <col min="4361" max="4375" width="4.28515625" style="47" customWidth="1"/>
    <col min="4376" max="4381" width="4.5703125" style="47" customWidth="1"/>
    <col min="4382" max="4608" width="9.140625" style="47"/>
    <col min="4609" max="4615" width="4.28515625" style="47" customWidth="1"/>
    <col min="4616" max="4616" width="3.42578125" style="47" customWidth="1"/>
    <col min="4617" max="4631" width="4.28515625" style="47" customWidth="1"/>
    <col min="4632" max="4637" width="4.5703125" style="47" customWidth="1"/>
    <col min="4638" max="4864" width="9.140625" style="47"/>
    <col min="4865" max="4871" width="4.28515625" style="47" customWidth="1"/>
    <col min="4872" max="4872" width="3.42578125" style="47" customWidth="1"/>
    <col min="4873" max="4887" width="4.28515625" style="47" customWidth="1"/>
    <col min="4888" max="4893" width="4.5703125" style="47" customWidth="1"/>
    <col min="4894" max="5120" width="9.140625" style="47"/>
    <col min="5121" max="5127" width="4.28515625" style="47" customWidth="1"/>
    <col min="5128" max="5128" width="3.42578125" style="47" customWidth="1"/>
    <col min="5129" max="5143" width="4.28515625" style="47" customWidth="1"/>
    <col min="5144" max="5149" width="4.5703125" style="47" customWidth="1"/>
    <col min="5150" max="5376" width="9.140625" style="47"/>
    <col min="5377" max="5383" width="4.28515625" style="47" customWidth="1"/>
    <col min="5384" max="5384" width="3.42578125" style="47" customWidth="1"/>
    <col min="5385" max="5399" width="4.28515625" style="47" customWidth="1"/>
    <col min="5400" max="5405" width="4.5703125" style="47" customWidth="1"/>
    <col min="5406" max="5632" width="9.140625" style="47"/>
    <col min="5633" max="5639" width="4.28515625" style="47" customWidth="1"/>
    <col min="5640" max="5640" width="3.42578125" style="47" customWidth="1"/>
    <col min="5641" max="5655" width="4.28515625" style="47" customWidth="1"/>
    <col min="5656" max="5661" width="4.5703125" style="47" customWidth="1"/>
    <col min="5662" max="5888" width="9.140625" style="47"/>
    <col min="5889" max="5895" width="4.28515625" style="47" customWidth="1"/>
    <col min="5896" max="5896" width="3.42578125" style="47" customWidth="1"/>
    <col min="5897" max="5911" width="4.28515625" style="47" customWidth="1"/>
    <col min="5912" max="5917" width="4.5703125" style="47" customWidth="1"/>
    <col min="5918" max="6144" width="9.140625" style="47"/>
    <col min="6145" max="6151" width="4.28515625" style="47" customWidth="1"/>
    <col min="6152" max="6152" width="3.42578125" style="47" customWidth="1"/>
    <col min="6153" max="6167" width="4.28515625" style="47" customWidth="1"/>
    <col min="6168" max="6173" width="4.5703125" style="47" customWidth="1"/>
    <col min="6174" max="6400" width="9.140625" style="47"/>
    <col min="6401" max="6407" width="4.28515625" style="47" customWidth="1"/>
    <col min="6408" max="6408" width="3.42578125" style="47" customWidth="1"/>
    <col min="6409" max="6423" width="4.28515625" style="47" customWidth="1"/>
    <col min="6424" max="6429" width="4.5703125" style="47" customWidth="1"/>
    <col min="6430" max="6656" width="9.140625" style="47"/>
    <col min="6657" max="6663" width="4.28515625" style="47" customWidth="1"/>
    <col min="6664" max="6664" width="3.42578125" style="47" customWidth="1"/>
    <col min="6665" max="6679" width="4.28515625" style="47" customWidth="1"/>
    <col min="6680" max="6685" width="4.5703125" style="47" customWidth="1"/>
    <col min="6686" max="6912" width="9.140625" style="47"/>
    <col min="6913" max="6919" width="4.28515625" style="47" customWidth="1"/>
    <col min="6920" max="6920" width="3.42578125" style="47" customWidth="1"/>
    <col min="6921" max="6935" width="4.28515625" style="47" customWidth="1"/>
    <col min="6936" max="6941" width="4.5703125" style="47" customWidth="1"/>
    <col min="6942" max="7168" width="9.140625" style="47"/>
    <col min="7169" max="7175" width="4.28515625" style="47" customWidth="1"/>
    <col min="7176" max="7176" width="3.42578125" style="47" customWidth="1"/>
    <col min="7177" max="7191" width="4.28515625" style="47" customWidth="1"/>
    <col min="7192" max="7197" width="4.5703125" style="47" customWidth="1"/>
    <col min="7198" max="7424" width="9.140625" style="47"/>
    <col min="7425" max="7431" width="4.28515625" style="47" customWidth="1"/>
    <col min="7432" max="7432" width="3.42578125" style="47" customWidth="1"/>
    <col min="7433" max="7447" width="4.28515625" style="47" customWidth="1"/>
    <col min="7448" max="7453" width="4.5703125" style="47" customWidth="1"/>
    <col min="7454" max="7680" width="9.140625" style="47"/>
    <col min="7681" max="7687" width="4.28515625" style="47" customWidth="1"/>
    <col min="7688" max="7688" width="3.42578125" style="47" customWidth="1"/>
    <col min="7689" max="7703" width="4.28515625" style="47" customWidth="1"/>
    <col min="7704" max="7709" width="4.5703125" style="47" customWidth="1"/>
    <col min="7710" max="7936" width="9.140625" style="47"/>
    <col min="7937" max="7943" width="4.28515625" style="47" customWidth="1"/>
    <col min="7944" max="7944" width="3.42578125" style="47" customWidth="1"/>
    <col min="7945" max="7959" width="4.28515625" style="47" customWidth="1"/>
    <col min="7960" max="7965" width="4.5703125" style="47" customWidth="1"/>
    <col min="7966" max="8192" width="9.140625" style="47"/>
    <col min="8193" max="8199" width="4.28515625" style="47" customWidth="1"/>
    <col min="8200" max="8200" width="3.42578125" style="47" customWidth="1"/>
    <col min="8201" max="8215" width="4.28515625" style="47" customWidth="1"/>
    <col min="8216" max="8221" width="4.5703125" style="47" customWidth="1"/>
    <col min="8222" max="8448" width="9.140625" style="47"/>
    <col min="8449" max="8455" width="4.28515625" style="47" customWidth="1"/>
    <col min="8456" max="8456" width="3.42578125" style="47" customWidth="1"/>
    <col min="8457" max="8471" width="4.28515625" style="47" customWidth="1"/>
    <col min="8472" max="8477" width="4.5703125" style="47" customWidth="1"/>
    <col min="8478" max="8704" width="9.140625" style="47"/>
    <col min="8705" max="8711" width="4.28515625" style="47" customWidth="1"/>
    <col min="8712" max="8712" width="3.42578125" style="47" customWidth="1"/>
    <col min="8713" max="8727" width="4.28515625" style="47" customWidth="1"/>
    <col min="8728" max="8733" width="4.5703125" style="47" customWidth="1"/>
    <col min="8734" max="8960" width="9.140625" style="47"/>
    <col min="8961" max="8967" width="4.28515625" style="47" customWidth="1"/>
    <col min="8968" max="8968" width="3.42578125" style="47" customWidth="1"/>
    <col min="8969" max="8983" width="4.28515625" style="47" customWidth="1"/>
    <col min="8984" max="8989" width="4.5703125" style="47" customWidth="1"/>
    <col min="8990" max="9216" width="9.140625" style="47"/>
    <col min="9217" max="9223" width="4.28515625" style="47" customWidth="1"/>
    <col min="9224" max="9224" width="3.42578125" style="47" customWidth="1"/>
    <col min="9225" max="9239" width="4.28515625" style="47" customWidth="1"/>
    <col min="9240" max="9245" width="4.5703125" style="47" customWidth="1"/>
    <col min="9246" max="9472" width="9.140625" style="47"/>
    <col min="9473" max="9479" width="4.28515625" style="47" customWidth="1"/>
    <col min="9480" max="9480" width="3.42578125" style="47" customWidth="1"/>
    <col min="9481" max="9495" width="4.28515625" style="47" customWidth="1"/>
    <col min="9496" max="9501" width="4.5703125" style="47" customWidth="1"/>
    <col min="9502" max="9728" width="9.140625" style="47"/>
    <col min="9729" max="9735" width="4.28515625" style="47" customWidth="1"/>
    <col min="9736" max="9736" width="3.42578125" style="47" customWidth="1"/>
    <col min="9737" max="9751" width="4.28515625" style="47" customWidth="1"/>
    <col min="9752" max="9757" width="4.5703125" style="47" customWidth="1"/>
    <col min="9758" max="9984" width="9.140625" style="47"/>
    <col min="9985" max="9991" width="4.28515625" style="47" customWidth="1"/>
    <col min="9992" max="9992" width="3.42578125" style="47" customWidth="1"/>
    <col min="9993" max="10007" width="4.28515625" style="47" customWidth="1"/>
    <col min="10008" max="10013" width="4.5703125" style="47" customWidth="1"/>
    <col min="10014" max="10240" width="9.140625" style="47"/>
    <col min="10241" max="10247" width="4.28515625" style="47" customWidth="1"/>
    <col min="10248" max="10248" width="3.42578125" style="47" customWidth="1"/>
    <col min="10249" max="10263" width="4.28515625" style="47" customWidth="1"/>
    <col min="10264" max="10269" width="4.5703125" style="47" customWidth="1"/>
    <col min="10270" max="10496" width="9.140625" style="47"/>
    <col min="10497" max="10503" width="4.28515625" style="47" customWidth="1"/>
    <col min="10504" max="10504" width="3.42578125" style="47" customWidth="1"/>
    <col min="10505" max="10519" width="4.28515625" style="47" customWidth="1"/>
    <col min="10520" max="10525" width="4.5703125" style="47" customWidth="1"/>
    <col min="10526" max="10752" width="9.140625" style="47"/>
    <col min="10753" max="10759" width="4.28515625" style="47" customWidth="1"/>
    <col min="10760" max="10760" width="3.42578125" style="47" customWidth="1"/>
    <col min="10761" max="10775" width="4.28515625" style="47" customWidth="1"/>
    <col min="10776" max="10781" width="4.5703125" style="47" customWidth="1"/>
    <col min="10782" max="11008" width="9.140625" style="47"/>
    <col min="11009" max="11015" width="4.28515625" style="47" customWidth="1"/>
    <col min="11016" max="11016" width="3.42578125" style="47" customWidth="1"/>
    <col min="11017" max="11031" width="4.28515625" style="47" customWidth="1"/>
    <col min="11032" max="11037" width="4.5703125" style="47" customWidth="1"/>
    <col min="11038" max="11264" width="9.140625" style="47"/>
    <col min="11265" max="11271" width="4.28515625" style="47" customWidth="1"/>
    <col min="11272" max="11272" width="3.42578125" style="47" customWidth="1"/>
    <col min="11273" max="11287" width="4.28515625" style="47" customWidth="1"/>
    <col min="11288" max="11293" width="4.5703125" style="47" customWidth="1"/>
    <col min="11294" max="11520" width="9.140625" style="47"/>
    <col min="11521" max="11527" width="4.28515625" style="47" customWidth="1"/>
    <col min="11528" max="11528" width="3.42578125" style="47" customWidth="1"/>
    <col min="11529" max="11543" width="4.28515625" style="47" customWidth="1"/>
    <col min="11544" max="11549" width="4.5703125" style="47" customWidth="1"/>
    <col min="11550" max="11776" width="9.140625" style="47"/>
    <col min="11777" max="11783" width="4.28515625" style="47" customWidth="1"/>
    <col min="11784" max="11784" width="3.42578125" style="47" customWidth="1"/>
    <col min="11785" max="11799" width="4.28515625" style="47" customWidth="1"/>
    <col min="11800" max="11805" width="4.5703125" style="47" customWidth="1"/>
    <col min="11806" max="12032" width="9.140625" style="47"/>
    <col min="12033" max="12039" width="4.28515625" style="47" customWidth="1"/>
    <col min="12040" max="12040" width="3.42578125" style="47" customWidth="1"/>
    <col min="12041" max="12055" width="4.28515625" style="47" customWidth="1"/>
    <col min="12056" max="12061" width="4.5703125" style="47" customWidth="1"/>
    <col min="12062" max="12288" width="9.140625" style="47"/>
    <col min="12289" max="12295" width="4.28515625" style="47" customWidth="1"/>
    <col min="12296" max="12296" width="3.42578125" style="47" customWidth="1"/>
    <col min="12297" max="12311" width="4.28515625" style="47" customWidth="1"/>
    <col min="12312" max="12317" width="4.5703125" style="47" customWidth="1"/>
    <col min="12318" max="12544" width="9.140625" style="47"/>
    <col min="12545" max="12551" width="4.28515625" style="47" customWidth="1"/>
    <col min="12552" max="12552" width="3.42578125" style="47" customWidth="1"/>
    <col min="12553" max="12567" width="4.28515625" style="47" customWidth="1"/>
    <col min="12568" max="12573" width="4.5703125" style="47" customWidth="1"/>
    <col min="12574" max="12800" width="9.140625" style="47"/>
    <col min="12801" max="12807" width="4.28515625" style="47" customWidth="1"/>
    <col min="12808" max="12808" width="3.42578125" style="47" customWidth="1"/>
    <col min="12809" max="12823" width="4.28515625" style="47" customWidth="1"/>
    <col min="12824" max="12829" width="4.5703125" style="47" customWidth="1"/>
    <col min="12830" max="13056" width="9.140625" style="47"/>
    <col min="13057" max="13063" width="4.28515625" style="47" customWidth="1"/>
    <col min="13064" max="13064" width="3.42578125" style="47" customWidth="1"/>
    <col min="13065" max="13079" width="4.28515625" style="47" customWidth="1"/>
    <col min="13080" max="13085" width="4.5703125" style="47" customWidth="1"/>
    <col min="13086" max="13312" width="9.140625" style="47"/>
    <col min="13313" max="13319" width="4.28515625" style="47" customWidth="1"/>
    <col min="13320" max="13320" width="3.42578125" style="47" customWidth="1"/>
    <col min="13321" max="13335" width="4.28515625" style="47" customWidth="1"/>
    <col min="13336" max="13341" width="4.5703125" style="47" customWidth="1"/>
    <col min="13342" max="13568" width="9.140625" style="47"/>
    <col min="13569" max="13575" width="4.28515625" style="47" customWidth="1"/>
    <col min="13576" max="13576" width="3.42578125" style="47" customWidth="1"/>
    <col min="13577" max="13591" width="4.28515625" style="47" customWidth="1"/>
    <col min="13592" max="13597" width="4.5703125" style="47" customWidth="1"/>
    <col min="13598" max="13824" width="9.140625" style="47"/>
    <col min="13825" max="13831" width="4.28515625" style="47" customWidth="1"/>
    <col min="13832" max="13832" width="3.42578125" style="47" customWidth="1"/>
    <col min="13833" max="13847" width="4.28515625" style="47" customWidth="1"/>
    <col min="13848" max="13853" width="4.5703125" style="47" customWidth="1"/>
    <col min="13854" max="14080" width="9.140625" style="47"/>
    <col min="14081" max="14087" width="4.28515625" style="47" customWidth="1"/>
    <col min="14088" max="14088" width="3.42578125" style="47" customWidth="1"/>
    <col min="14089" max="14103" width="4.28515625" style="47" customWidth="1"/>
    <col min="14104" max="14109" width="4.5703125" style="47" customWidth="1"/>
    <col min="14110" max="14336" width="9.140625" style="47"/>
    <col min="14337" max="14343" width="4.28515625" style="47" customWidth="1"/>
    <col min="14344" max="14344" width="3.42578125" style="47" customWidth="1"/>
    <col min="14345" max="14359" width="4.28515625" style="47" customWidth="1"/>
    <col min="14360" max="14365" width="4.5703125" style="47" customWidth="1"/>
    <col min="14366" max="14592" width="9.140625" style="47"/>
    <col min="14593" max="14599" width="4.28515625" style="47" customWidth="1"/>
    <col min="14600" max="14600" width="3.42578125" style="47" customWidth="1"/>
    <col min="14601" max="14615" width="4.28515625" style="47" customWidth="1"/>
    <col min="14616" max="14621" width="4.5703125" style="47" customWidth="1"/>
    <col min="14622" max="14848" width="9.140625" style="47"/>
    <col min="14849" max="14855" width="4.28515625" style="47" customWidth="1"/>
    <col min="14856" max="14856" width="3.42578125" style="47" customWidth="1"/>
    <col min="14857" max="14871" width="4.28515625" style="47" customWidth="1"/>
    <col min="14872" max="14877" width="4.5703125" style="47" customWidth="1"/>
    <col min="14878" max="15104" width="9.140625" style="47"/>
    <col min="15105" max="15111" width="4.28515625" style="47" customWidth="1"/>
    <col min="15112" max="15112" width="3.42578125" style="47" customWidth="1"/>
    <col min="15113" max="15127" width="4.28515625" style="47" customWidth="1"/>
    <col min="15128" max="15133" width="4.5703125" style="47" customWidth="1"/>
    <col min="15134" max="15360" width="9.140625" style="47"/>
    <col min="15361" max="15367" width="4.28515625" style="47" customWidth="1"/>
    <col min="15368" max="15368" width="3.42578125" style="47" customWidth="1"/>
    <col min="15369" max="15383" width="4.28515625" style="47" customWidth="1"/>
    <col min="15384" max="15389" width="4.5703125" style="47" customWidth="1"/>
    <col min="15390" max="15616" width="9.140625" style="47"/>
    <col min="15617" max="15623" width="4.28515625" style="47" customWidth="1"/>
    <col min="15624" max="15624" width="3.42578125" style="47" customWidth="1"/>
    <col min="15625" max="15639" width="4.28515625" style="47" customWidth="1"/>
    <col min="15640" max="15645" width="4.5703125" style="47" customWidth="1"/>
    <col min="15646" max="15872" width="9.140625" style="47"/>
    <col min="15873" max="15879" width="4.28515625" style="47" customWidth="1"/>
    <col min="15880" max="15880" width="3.42578125" style="47" customWidth="1"/>
    <col min="15881" max="15895" width="4.28515625" style="47" customWidth="1"/>
    <col min="15896" max="15901" width="4.5703125" style="47" customWidth="1"/>
    <col min="15902" max="16128" width="9.140625" style="47"/>
    <col min="16129" max="16135" width="4.28515625" style="47" customWidth="1"/>
    <col min="16136" max="16136" width="3.42578125" style="47" customWidth="1"/>
    <col min="16137" max="16151" width="4.28515625" style="47" customWidth="1"/>
    <col min="16152" max="16157" width="4.5703125" style="47" customWidth="1"/>
    <col min="16158" max="16384" width="9.140625" style="47"/>
  </cols>
  <sheetData>
    <row r="1" spans="1:36" ht="14.1" customHeight="1"/>
    <row r="3" spans="1:36" ht="34.5" customHeight="1">
      <c r="A3" s="398" t="s">
        <v>93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  <c r="T3" s="398"/>
      <c r="U3" s="398"/>
      <c r="V3" s="398"/>
    </row>
    <row r="4" spans="1:36" s="49" customFormat="1" ht="18.9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36" s="49" customFormat="1" ht="17.850000000000001" customHeight="1">
      <c r="A5" s="50"/>
      <c r="B5" s="51" t="s">
        <v>74</v>
      </c>
      <c r="C5" s="51"/>
      <c r="D5" s="58"/>
      <c r="E5" s="51"/>
      <c r="G5" s="54" t="s">
        <v>75</v>
      </c>
      <c r="H5" s="55" t="str">
        <f>Certificate!J5</f>
        <v>SPR17xxxx</v>
      </c>
      <c r="I5" s="55"/>
      <c r="J5" s="55"/>
      <c r="K5" s="55"/>
      <c r="L5" s="55"/>
      <c r="M5" s="55"/>
      <c r="N5" s="55"/>
      <c r="O5" s="55"/>
      <c r="P5" s="56"/>
      <c r="Q5" s="56"/>
      <c r="R5" s="56"/>
      <c r="S5" s="56"/>
      <c r="T5" s="56"/>
      <c r="U5" s="57" t="s">
        <v>94</v>
      </c>
      <c r="V5" s="56"/>
    </row>
    <row r="6" spans="1:36" s="49" customFormat="1" ht="18.95" customHeight="1">
      <c r="A6" s="50"/>
      <c r="B6" s="97"/>
      <c r="C6" s="52"/>
      <c r="D6" s="52"/>
      <c r="E6" s="53"/>
      <c r="F6" s="59"/>
      <c r="G6" s="59"/>
      <c r="H6" s="59"/>
      <c r="I6" s="103"/>
      <c r="J6" s="38"/>
      <c r="K6" s="35"/>
      <c r="L6" s="38"/>
      <c r="M6" s="38"/>
      <c r="N6" s="55"/>
      <c r="O6" s="55"/>
      <c r="P6" s="56"/>
      <c r="Q6" s="56"/>
      <c r="R6" s="56"/>
      <c r="S6" s="50"/>
      <c r="T6" s="50"/>
      <c r="U6" s="50"/>
    </row>
    <row r="7" spans="1:36" s="49" customFormat="1" ht="17.850000000000001" customHeight="1">
      <c r="A7" s="50"/>
      <c r="B7" s="104"/>
      <c r="C7" s="66"/>
      <c r="D7" s="52"/>
      <c r="E7" s="52"/>
      <c r="F7" s="52"/>
      <c r="G7" s="52"/>
      <c r="H7" s="52"/>
      <c r="I7" s="25"/>
      <c r="J7" s="105"/>
      <c r="K7" s="35"/>
      <c r="L7" s="106"/>
      <c r="M7" s="106"/>
      <c r="N7" s="62"/>
      <c r="O7" s="62"/>
      <c r="P7" s="62"/>
      <c r="Q7" s="62"/>
      <c r="R7" s="62"/>
      <c r="S7" s="62"/>
      <c r="T7" s="63"/>
      <c r="U7" s="63"/>
      <c r="V7" s="64"/>
      <c r="W7" s="65"/>
      <c r="AB7" s="49" t="s">
        <v>95</v>
      </c>
    </row>
    <row r="8" spans="1:36" s="49" customFormat="1" ht="14.1" customHeight="1">
      <c r="A8" s="50"/>
      <c r="B8" s="97"/>
      <c r="C8" s="66"/>
      <c r="D8" s="66"/>
      <c r="E8" s="52"/>
      <c r="F8" s="52"/>
      <c r="G8" s="399" t="s">
        <v>130</v>
      </c>
      <c r="H8" s="399"/>
      <c r="I8" s="399"/>
      <c r="J8" s="399"/>
      <c r="K8" s="399"/>
      <c r="L8" s="399"/>
      <c r="M8" s="399"/>
      <c r="N8" s="399"/>
      <c r="O8" s="399"/>
      <c r="P8" s="399"/>
      <c r="Q8" s="62"/>
      <c r="R8" s="62"/>
      <c r="S8" s="62"/>
      <c r="T8" s="62"/>
      <c r="U8" s="63"/>
      <c r="V8" s="64"/>
      <c r="W8" s="64"/>
      <c r="X8" s="65"/>
      <c r="Z8" s="78"/>
    </row>
    <row r="9" spans="1:36" s="49" customFormat="1" ht="14.1" customHeight="1">
      <c r="A9" s="50"/>
      <c r="B9" s="97"/>
      <c r="C9" s="66"/>
      <c r="D9" s="66"/>
      <c r="E9" s="52"/>
      <c r="F9" s="52"/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62"/>
      <c r="R9" s="62"/>
      <c r="S9" s="62"/>
      <c r="T9" s="62"/>
      <c r="U9" s="63"/>
      <c r="V9" s="64"/>
      <c r="W9" s="64"/>
      <c r="X9" s="65"/>
    </row>
    <row r="10" spans="1:36" s="65" customFormat="1" ht="18.95" customHeight="1">
      <c r="A10" s="68"/>
      <c r="B10" s="107"/>
      <c r="C10" s="70"/>
      <c r="D10" s="70"/>
      <c r="E10" s="70"/>
      <c r="F10" s="70"/>
      <c r="G10" s="71"/>
      <c r="H10" s="72"/>
      <c r="I10" s="108"/>
      <c r="J10" s="108"/>
      <c r="K10" s="108"/>
      <c r="L10" s="108"/>
      <c r="M10" s="108"/>
      <c r="N10" s="73"/>
      <c r="O10" s="73"/>
      <c r="P10" s="73"/>
      <c r="Q10" s="109"/>
      <c r="R10" s="68"/>
      <c r="S10" s="110"/>
      <c r="T10" s="64"/>
      <c r="V10" s="75"/>
      <c r="W10" s="76"/>
    </row>
    <row r="11" spans="1:36" s="49" customFormat="1" ht="23.1" customHeight="1">
      <c r="A11" s="50"/>
      <c r="B11" s="395" t="s">
        <v>77</v>
      </c>
      <c r="C11" s="396"/>
      <c r="D11" s="396"/>
      <c r="E11" s="396"/>
      <c r="F11" s="396"/>
      <c r="G11" s="397"/>
      <c r="H11" s="395" t="s">
        <v>79</v>
      </c>
      <c r="I11" s="396"/>
      <c r="J11" s="397"/>
      <c r="K11" s="395" t="s">
        <v>96</v>
      </c>
      <c r="L11" s="396"/>
      <c r="M11" s="397"/>
      <c r="N11" s="395" t="s">
        <v>97</v>
      </c>
      <c r="O11" s="396"/>
      <c r="P11" s="396"/>
      <c r="Q11" s="397"/>
      <c r="R11" s="395" t="s">
        <v>98</v>
      </c>
      <c r="S11" s="396"/>
      <c r="T11" s="396"/>
      <c r="U11" s="397"/>
      <c r="W11" s="78"/>
    </row>
    <row r="12" spans="1:36" s="49" customFormat="1" ht="23.1" customHeight="1">
      <c r="A12" s="50"/>
      <c r="B12" s="386" t="s">
        <v>176</v>
      </c>
      <c r="C12" s="387"/>
      <c r="D12" s="387"/>
      <c r="E12" s="387"/>
      <c r="F12" s="387"/>
      <c r="G12" s="388"/>
      <c r="H12" s="386" t="s">
        <v>177</v>
      </c>
      <c r="I12" s="387"/>
      <c r="J12" s="388"/>
      <c r="K12" s="389" t="s">
        <v>178</v>
      </c>
      <c r="L12" s="390"/>
      <c r="M12" s="391"/>
      <c r="N12" s="386" t="s">
        <v>179</v>
      </c>
      <c r="O12" s="387"/>
      <c r="P12" s="387"/>
      <c r="Q12" s="388"/>
      <c r="R12" s="392" t="s">
        <v>180</v>
      </c>
      <c r="S12" s="393"/>
      <c r="T12" s="393"/>
      <c r="U12" s="394"/>
      <c r="V12" s="80"/>
      <c r="W12" s="80"/>
      <c r="X12" s="80"/>
      <c r="Y12" s="80"/>
      <c r="Z12" s="111"/>
    </row>
    <row r="13" spans="1:36" s="49" customFormat="1" ht="16.5" customHeight="1">
      <c r="A13" s="50"/>
      <c r="B13" s="81"/>
      <c r="C13" s="60"/>
      <c r="D13" s="60"/>
      <c r="E13" s="60"/>
      <c r="F13" s="58"/>
      <c r="G13" s="58"/>
      <c r="H13" s="58"/>
      <c r="I13" s="79"/>
      <c r="J13" s="61"/>
      <c r="K13" s="56"/>
      <c r="L13" s="61"/>
      <c r="M13" s="56"/>
      <c r="N13" s="56"/>
      <c r="O13" s="61"/>
      <c r="P13" s="61"/>
      <c r="Q13" s="56"/>
      <c r="R13" s="56"/>
      <c r="S13" s="56"/>
      <c r="T13" s="56"/>
      <c r="U13" s="56"/>
      <c r="AH13" s="80"/>
      <c r="AI13" s="80"/>
    </row>
    <row r="14" spans="1:36" s="49" customFormat="1" ht="16.5" customHeight="1">
      <c r="A14" s="50"/>
      <c r="B14" s="112" t="s">
        <v>100</v>
      </c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61"/>
      <c r="Q14" s="56"/>
      <c r="R14" s="56"/>
      <c r="S14" s="56"/>
      <c r="T14" s="56"/>
      <c r="U14" s="56"/>
      <c r="AI14" s="80"/>
      <c r="AJ14" s="80"/>
    </row>
    <row r="15" spans="1:36" s="49" customFormat="1" ht="16.5" customHeight="1">
      <c r="A15" s="50"/>
      <c r="B15" s="56"/>
      <c r="C15" s="56" t="s">
        <v>101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61"/>
      <c r="Q15" s="61"/>
      <c r="R15" s="61"/>
      <c r="S15" s="61"/>
      <c r="T15" s="82"/>
      <c r="U15" s="56"/>
      <c r="V15" s="80"/>
      <c r="AI15" s="80"/>
      <c r="AJ15" s="80"/>
    </row>
    <row r="16" spans="1:36" s="49" customFormat="1" ht="18.95" customHeight="1">
      <c r="A16" s="50"/>
      <c r="B16" s="92" t="s">
        <v>102</v>
      </c>
      <c r="C16" s="96"/>
      <c r="D16" s="96"/>
      <c r="E16" s="96"/>
      <c r="F16" s="96"/>
      <c r="G16" s="96"/>
      <c r="H16" s="96"/>
      <c r="I16" s="56"/>
      <c r="J16" s="56"/>
      <c r="K16" s="56"/>
      <c r="L16" s="56"/>
      <c r="M16" s="56"/>
      <c r="N16" s="56"/>
      <c r="O16" s="56"/>
      <c r="P16" s="61"/>
      <c r="Q16" s="61"/>
      <c r="R16" s="82"/>
      <c r="S16" s="56"/>
      <c r="T16" s="61"/>
      <c r="U16" s="56"/>
      <c r="AG16" s="80"/>
      <c r="AH16" s="80"/>
    </row>
    <row r="17" spans="1:35" s="49" customFormat="1" ht="16.5" customHeight="1">
      <c r="A17" s="50"/>
      <c r="B17" s="113"/>
      <c r="C17" s="77"/>
      <c r="D17" s="52"/>
      <c r="E17" s="83"/>
      <c r="F17" s="52"/>
      <c r="G17" s="52"/>
      <c r="H17" s="52"/>
      <c r="I17" s="114"/>
      <c r="J17" s="115"/>
      <c r="K17" s="116"/>
      <c r="L17" s="116"/>
      <c r="M17" s="116"/>
      <c r="O17" s="61"/>
      <c r="P17" s="61"/>
      <c r="Q17" s="61"/>
      <c r="R17" s="82"/>
      <c r="S17" s="50"/>
      <c r="T17" s="117"/>
      <c r="U17" s="50"/>
      <c r="Y17" s="118"/>
      <c r="Z17" s="119"/>
      <c r="AF17" s="120"/>
      <c r="AG17" s="120"/>
      <c r="AH17" s="120"/>
    </row>
    <row r="18" spans="1:35" s="49" customFormat="1" ht="16.5" customHeight="1">
      <c r="A18" s="50"/>
      <c r="B18" s="113"/>
      <c r="C18" s="77"/>
      <c r="D18" s="52"/>
      <c r="E18" s="84"/>
      <c r="F18" s="52"/>
      <c r="G18" s="52"/>
      <c r="H18" s="52"/>
      <c r="I18" s="114"/>
      <c r="J18" s="380"/>
      <c r="K18" s="381"/>
      <c r="L18" s="381"/>
      <c r="M18" s="381"/>
      <c r="O18" s="61"/>
      <c r="P18" s="61"/>
      <c r="Q18" s="61"/>
      <c r="R18" s="82"/>
      <c r="S18" s="50"/>
      <c r="T18" s="117"/>
      <c r="U18" s="50"/>
      <c r="AG18" s="80"/>
      <c r="AH18" s="80"/>
    </row>
    <row r="19" spans="1:35" s="49" customFormat="1" ht="16.5" customHeight="1">
      <c r="A19" s="50"/>
      <c r="B19" s="121"/>
      <c r="C19" s="77"/>
      <c r="D19" s="52"/>
      <c r="E19" s="53"/>
      <c r="F19" s="52"/>
      <c r="G19" s="52"/>
      <c r="H19" s="52"/>
      <c r="I19" s="114"/>
      <c r="J19" s="381"/>
      <c r="K19" s="381"/>
      <c r="L19" s="381"/>
      <c r="M19" s="381"/>
      <c r="O19" s="61"/>
      <c r="P19" s="61"/>
      <c r="Q19" s="61"/>
      <c r="R19" s="82"/>
      <c r="S19" s="50"/>
      <c r="T19" s="117"/>
      <c r="U19" s="50"/>
      <c r="AG19" s="80"/>
      <c r="AH19" s="80"/>
    </row>
    <row r="20" spans="1:35" s="49" customFormat="1" ht="18.95" customHeight="1">
      <c r="A20" s="50"/>
      <c r="B20" s="121"/>
      <c r="C20" s="77"/>
      <c r="D20" s="52"/>
      <c r="E20" s="53"/>
      <c r="F20" s="52"/>
      <c r="G20" s="77"/>
      <c r="H20" s="85"/>
      <c r="I20" s="122"/>
      <c r="J20" s="122"/>
      <c r="K20" s="122"/>
      <c r="L20" s="105"/>
      <c r="M20" s="105"/>
      <c r="O20" s="61"/>
      <c r="P20" s="82"/>
      <c r="Q20" s="50"/>
      <c r="R20" s="117"/>
      <c r="S20" s="50"/>
      <c r="AF20" s="80"/>
    </row>
    <row r="21" spans="1:35" s="49" customFormat="1" ht="16.5" customHeight="1">
      <c r="A21" s="50"/>
      <c r="B21" s="104"/>
      <c r="C21" s="66"/>
      <c r="D21" s="66"/>
      <c r="E21" s="66"/>
      <c r="F21" s="66"/>
      <c r="G21" s="66"/>
      <c r="H21" s="86"/>
      <c r="I21" s="98"/>
      <c r="J21" s="105"/>
      <c r="K21" s="105"/>
      <c r="L21" s="123"/>
      <c r="M21" s="35"/>
      <c r="O21" s="88"/>
      <c r="P21" s="88"/>
      <c r="Q21" s="50"/>
      <c r="R21" s="50"/>
      <c r="S21" s="50"/>
      <c r="AF21" s="124"/>
      <c r="AG21" s="124"/>
    </row>
    <row r="22" spans="1:35" s="49" customFormat="1" ht="16.5" customHeight="1">
      <c r="A22" s="50"/>
      <c r="B22" s="104"/>
      <c r="C22" s="66"/>
      <c r="D22" s="66"/>
      <c r="E22" s="66"/>
      <c r="F22" s="52"/>
      <c r="G22" s="52"/>
      <c r="H22" s="52"/>
      <c r="I22" s="25"/>
      <c r="J22" s="125"/>
      <c r="K22" s="35"/>
      <c r="L22" s="35"/>
      <c r="M22" s="35"/>
      <c r="O22" s="56"/>
      <c r="P22" s="56"/>
      <c r="Q22" s="56"/>
      <c r="R22" s="56"/>
      <c r="S22" s="50"/>
      <c r="T22" s="50"/>
      <c r="U22" s="50"/>
      <c r="AG22" s="126"/>
      <c r="AH22" s="127"/>
      <c r="AI22" s="65"/>
    </row>
    <row r="23" spans="1:35" s="49" customFormat="1" ht="16.5" customHeight="1">
      <c r="A23" s="50"/>
      <c r="B23" s="104"/>
      <c r="C23" s="53"/>
      <c r="D23" s="53"/>
      <c r="E23" s="53"/>
      <c r="F23" s="52"/>
      <c r="G23" s="52"/>
      <c r="H23" s="52"/>
      <c r="I23" s="27"/>
      <c r="J23" s="125"/>
      <c r="K23" s="35"/>
      <c r="L23" s="35"/>
      <c r="M23" s="35"/>
      <c r="O23" s="56"/>
      <c r="P23" s="56"/>
      <c r="Q23" s="56"/>
      <c r="R23" s="56"/>
      <c r="S23" s="50"/>
      <c r="T23" s="50"/>
      <c r="U23" s="50"/>
      <c r="V23" s="65"/>
      <c r="W23" s="65"/>
      <c r="AC23" s="128"/>
      <c r="AD23" s="128"/>
      <c r="AE23" s="128"/>
      <c r="AF23" s="128"/>
      <c r="AG23" s="126"/>
      <c r="AH23" s="127"/>
      <c r="AI23" s="65"/>
    </row>
    <row r="24" spans="1:35" s="49" customFormat="1" ht="16.5" customHeight="1">
      <c r="A24" s="50"/>
      <c r="B24" s="104"/>
      <c r="C24" s="53"/>
      <c r="D24" s="53"/>
      <c r="E24" s="53"/>
      <c r="F24" s="52"/>
      <c r="G24" s="52"/>
      <c r="H24" s="52"/>
      <c r="I24" s="27"/>
      <c r="J24" s="125"/>
      <c r="K24" s="35"/>
      <c r="L24" s="35"/>
      <c r="M24" s="35"/>
      <c r="O24" s="56"/>
      <c r="P24" s="56"/>
      <c r="Q24" s="56"/>
      <c r="R24" s="56"/>
      <c r="S24" s="50"/>
      <c r="T24" s="50"/>
      <c r="U24" s="50"/>
      <c r="V24" s="65"/>
      <c r="W24" s="65"/>
      <c r="AC24" s="128"/>
      <c r="AD24" s="128"/>
      <c r="AE24" s="128"/>
      <c r="AF24" s="128"/>
      <c r="AG24" s="126"/>
      <c r="AH24" s="127"/>
      <c r="AI24" s="65"/>
    </row>
    <row r="25" spans="1:35" s="49" customFormat="1" ht="18.95" customHeight="1">
      <c r="A25" s="50"/>
      <c r="B25" s="97"/>
      <c r="C25" s="52"/>
      <c r="D25" s="53"/>
      <c r="E25" s="53"/>
      <c r="F25" s="53"/>
      <c r="G25" s="53"/>
      <c r="H25" s="59"/>
      <c r="I25" s="35"/>
      <c r="J25" s="35"/>
      <c r="K25" s="35"/>
      <c r="L25" s="35"/>
      <c r="M25" s="35"/>
      <c r="N25" s="117"/>
      <c r="O25" s="50"/>
      <c r="P25" s="50"/>
      <c r="Q25" s="50"/>
      <c r="R25" s="50"/>
      <c r="S25" s="50"/>
      <c r="T25" s="50"/>
      <c r="U25" s="65"/>
      <c r="V25" s="65"/>
      <c r="AA25" s="128"/>
      <c r="AB25" s="128"/>
      <c r="AC25" s="128"/>
      <c r="AD25" s="128"/>
      <c r="AE25" s="128"/>
      <c r="AF25" s="126"/>
      <c r="AG25" s="127"/>
      <c r="AH25" s="65"/>
    </row>
    <row r="26" spans="1:35" s="49" customFormat="1" ht="16.5" customHeight="1">
      <c r="A26" s="68"/>
      <c r="B26" s="121"/>
      <c r="C26" s="52"/>
      <c r="D26" s="53"/>
      <c r="E26" s="53"/>
      <c r="F26" s="53"/>
      <c r="G26" s="53"/>
      <c r="H26" s="90"/>
      <c r="I26" s="91"/>
      <c r="J26" s="90"/>
      <c r="K26" s="90"/>
      <c r="L26" s="90"/>
      <c r="M26" s="91"/>
      <c r="N26" s="90"/>
      <c r="O26" s="90"/>
      <c r="P26" s="90"/>
      <c r="Q26" s="90"/>
      <c r="R26" s="90"/>
      <c r="S26" s="90"/>
      <c r="T26" s="91"/>
    </row>
    <row r="27" spans="1:35" s="49" customFormat="1" ht="16.5" customHeight="1">
      <c r="A27" s="50"/>
      <c r="V27" s="129"/>
    </row>
    <row r="28" spans="1:35" s="49" customFormat="1" ht="16.5" customHeight="1">
      <c r="A28" s="50"/>
      <c r="V28" s="129"/>
    </row>
    <row r="29" spans="1:35" s="49" customFormat="1" ht="18.95" customHeight="1">
      <c r="A29" s="50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94"/>
      <c r="W29" s="94"/>
      <c r="X29" s="95"/>
      <c r="Y29" s="95"/>
    </row>
    <row r="30" spans="1:35" s="49" customFormat="1" ht="16.5" customHeight="1">
      <c r="A30" s="50"/>
      <c r="P30" s="93"/>
      <c r="Q30" s="93"/>
      <c r="R30" s="93"/>
      <c r="S30" s="93"/>
      <c r="T30" s="93"/>
      <c r="U30" s="94"/>
      <c r="V30" s="94"/>
      <c r="W30" s="95"/>
      <c r="X30" s="95"/>
    </row>
    <row r="31" spans="1:35" s="49" customFormat="1" ht="16.5" customHeight="1">
      <c r="A31" s="50"/>
      <c r="P31" s="56"/>
      <c r="Q31" s="56"/>
      <c r="R31" s="56"/>
      <c r="S31" s="56"/>
      <c r="T31" s="50"/>
    </row>
    <row r="32" spans="1:35" s="49" customFormat="1" ht="16.5" customHeight="1">
      <c r="A32" s="50"/>
      <c r="P32" s="56"/>
      <c r="Q32" s="56"/>
      <c r="R32" s="56"/>
      <c r="S32" s="56"/>
      <c r="T32" s="50"/>
    </row>
    <row r="33" spans="1:26" s="49" customFormat="1" ht="18.95" customHeight="1">
      <c r="A33" s="50"/>
      <c r="B33" s="92"/>
      <c r="C33" s="96"/>
      <c r="D33" s="96"/>
      <c r="E33" s="96"/>
      <c r="F33" s="96"/>
      <c r="G33" s="96"/>
      <c r="H33" s="9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0"/>
    </row>
    <row r="34" spans="1:26" s="49" customFormat="1" ht="16.5" customHeight="1">
      <c r="A34" s="50"/>
      <c r="B34" s="121"/>
      <c r="C34" s="13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68"/>
    </row>
    <row r="35" spans="1:26" s="49" customFormat="1" ht="16.5" customHeight="1">
      <c r="A35" s="50"/>
      <c r="B35" s="38"/>
      <c r="C35" s="38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68"/>
      <c r="T35" s="68"/>
    </row>
    <row r="36" spans="1:26" s="49" customFormat="1" ht="16.5" customHeight="1">
      <c r="A36" s="50"/>
      <c r="B36" s="131"/>
      <c r="C36" s="99"/>
      <c r="D36" s="96"/>
      <c r="E36" s="96"/>
      <c r="F36" s="96"/>
      <c r="G36" s="96"/>
      <c r="H36" s="96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68"/>
      <c r="T36" s="68"/>
    </row>
    <row r="37" spans="1:26" s="49" customFormat="1" ht="18.95" customHeight="1">
      <c r="A37" s="5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</row>
    <row r="38" spans="1:26" s="49" customFormat="1" ht="16.5" customHeight="1">
      <c r="A38" s="50"/>
      <c r="B38" s="121"/>
      <c r="C38" s="65"/>
      <c r="D38" s="65"/>
      <c r="E38" s="65"/>
      <c r="F38" s="382"/>
      <c r="G38" s="382"/>
      <c r="H38" s="382"/>
      <c r="I38" s="382"/>
      <c r="J38" s="132"/>
      <c r="K38" s="65"/>
      <c r="L38" s="383"/>
      <c r="M38" s="383"/>
      <c r="N38" s="383"/>
      <c r="O38" s="383"/>
      <c r="P38" s="55"/>
      <c r="Q38" s="55"/>
      <c r="R38" s="55"/>
      <c r="S38" s="55"/>
      <c r="T38" s="55"/>
    </row>
    <row r="39" spans="1:26" s="49" customFormat="1" ht="14.1" customHeight="1">
      <c r="A39" s="100"/>
      <c r="B39" s="65"/>
      <c r="C39" s="65"/>
      <c r="D39" s="65"/>
      <c r="E39" s="65"/>
      <c r="F39" s="38"/>
      <c r="G39" s="38"/>
      <c r="H39" s="38"/>
      <c r="I39" s="99"/>
      <c r="J39" s="68"/>
      <c r="K39" s="65"/>
      <c r="L39" s="68"/>
      <c r="M39" s="68"/>
      <c r="N39" s="133"/>
      <c r="O39" s="134"/>
      <c r="P39" s="99"/>
      <c r="Q39" s="99"/>
      <c r="R39" s="99"/>
      <c r="S39" s="99"/>
      <c r="T39" s="99"/>
      <c r="U39" s="101"/>
      <c r="V39" s="101"/>
      <c r="W39" s="101"/>
      <c r="X39" s="101"/>
      <c r="Y39" s="101"/>
      <c r="Z39" s="101"/>
    </row>
    <row r="40" spans="1:26" s="49" customFormat="1" ht="16.5" customHeight="1">
      <c r="A40" s="50"/>
      <c r="B40" s="121"/>
      <c r="C40" s="53"/>
      <c r="D40" s="53"/>
      <c r="E40" s="65"/>
      <c r="F40" s="38"/>
      <c r="G40" s="135"/>
      <c r="H40" s="135"/>
      <c r="I40" s="135"/>
      <c r="J40" s="65"/>
      <c r="K40" s="65"/>
      <c r="L40" s="68"/>
      <c r="M40" s="68"/>
      <c r="N40" s="68"/>
      <c r="O40" s="68"/>
      <c r="P40" s="384"/>
      <c r="Q40" s="384"/>
      <c r="R40" s="384"/>
      <c r="S40" s="384"/>
      <c r="T40" s="384"/>
      <c r="U40" s="101"/>
      <c r="V40" s="101"/>
      <c r="W40" s="101"/>
      <c r="X40" s="101"/>
      <c r="Y40" s="101"/>
      <c r="Z40" s="101"/>
    </row>
    <row r="41" spans="1:26" s="49" customFormat="1" ht="18.95" customHeight="1">
      <c r="A41" s="50"/>
      <c r="D41" s="385"/>
      <c r="E41" s="385"/>
      <c r="F41" s="385"/>
      <c r="G41" s="385"/>
      <c r="H41" s="385"/>
      <c r="K41" s="68"/>
      <c r="L41" s="50"/>
      <c r="M41" s="50"/>
      <c r="N41" s="87"/>
      <c r="O41" s="87"/>
      <c r="P41" s="87"/>
      <c r="Q41" s="87"/>
      <c r="R41" s="87"/>
      <c r="S41" s="53"/>
      <c r="T41" s="101"/>
      <c r="U41" s="101"/>
      <c r="V41" s="101"/>
      <c r="W41" s="101"/>
      <c r="X41" s="101"/>
      <c r="Y41" s="101"/>
    </row>
    <row r="42" spans="1:26" s="49" customFormat="1" ht="16.5" customHeight="1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102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H11:J11"/>
    <mergeCell ref="B11:G11"/>
    <mergeCell ref="A3:V3"/>
    <mergeCell ref="R11:U11"/>
    <mergeCell ref="N11:Q11"/>
    <mergeCell ref="K11:M11"/>
    <mergeCell ref="G8:P9"/>
    <mergeCell ref="B12:G12"/>
    <mergeCell ref="H12:J12"/>
    <mergeCell ref="K12:M12"/>
    <mergeCell ref="N12:Q12"/>
    <mergeCell ref="R12:U12"/>
    <mergeCell ref="A42:T42"/>
    <mergeCell ref="J18:M18"/>
    <mergeCell ref="J19:M19"/>
    <mergeCell ref="F38:I38"/>
    <mergeCell ref="L38:O38"/>
    <mergeCell ref="P40:T40"/>
    <mergeCell ref="D41:H41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A3" sqref="A3:Y3"/>
    </sheetView>
  </sheetViews>
  <sheetFormatPr defaultColWidth="9.140625" defaultRowHeight="12"/>
  <cols>
    <col min="1" max="25" width="3.85546875" style="139" customWidth="1"/>
    <col min="26" max="27" width="4.140625" style="139" customWidth="1"/>
    <col min="28" max="31" width="4.42578125" style="139" customWidth="1"/>
    <col min="32" max="32" width="10.42578125" style="139" bestFit="1" customWidth="1"/>
    <col min="33" max="33" width="6.85546875" style="139" customWidth="1"/>
    <col min="34" max="35" width="4.42578125" style="139" customWidth="1"/>
    <col min="36" max="36" width="5.7109375" style="139" customWidth="1"/>
    <col min="37" max="38" width="4.42578125" style="139" customWidth="1"/>
    <col min="39" max="43" width="4.42578125" style="136" customWidth="1"/>
    <col min="44" max="50" width="4.42578125" style="139" customWidth="1"/>
    <col min="51" max="16384" width="9.140625" style="139"/>
  </cols>
  <sheetData>
    <row r="1" spans="1:33" s="136" customFormat="1" ht="18" customHeight="1">
      <c r="A1" s="251"/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spans="1:33" s="136" customFormat="1" ht="18" customHeight="1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AA2" s="137"/>
      <c r="AB2" s="137"/>
      <c r="AC2" s="137"/>
      <c r="AD2" s="137"/>
      <c r="AE2" s="137"/>
    </row>
    <row r="3" spans="1:33" s="136" customFormat="1" ht="34.5" customHeight="1">
      <c r="A3" s="462" t="s">
        <v>103</v>
      </c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  <c r="P3" s="462"/>
      <c r="Q3" s="462"/>
      <c r="R3" s="462"/>
      <c r="S3" s="462"/>
      <c r="T3" s="462"/>
      <c r="U3" s="462"/>
      <c r="V3" s="462"/>
      <c r="W3" s="462"/>
      <c r="X3" s="462"/>
      <c r="Y3" s="462"/>
      <c r="Z3" s="210"/>
      <c r="AA3" s="137"/>
      <c r="AB3" s="137"/>
      <c r="AC3" s="137"/>
      <c r="AD3" s="137"/>
      <c r="AE3" s="137"/>
    </row>
    <row r="4" spans="1:33" s="136" customFormat="1" ht="12" customHeight="1">
      <c r="A4" s="251"/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AA4" s="138"/>
      <c r="AB4" s="138"/>
      <c r="AC4" s="138"/>
      <c r="AD4" s="138"/>
      <c r="AE4" s="138"/>
    </row>
    <row r="5" spans="1:33" ht="18" customHeight="1">
      <c r="A5" s="252"/>
      <c r="B5" s="252"/>
      <c r="C5" s="253" t="s">
        <v>34</v>
      </c>
      <c r="D5" s="251"/>
      <c r="E5" s="251"/>
      <c r="F5" s="252"/>
      <c r="G5" s="252"/>
      <c r="H5" s="254" t="str">
        <f>cert</f>
        <v>SPR17xxxx</v>
      </c>
      <c r="I5" s="251"/>
      <c r="J5" s="251"/>
      <c r="K5" s="251"/>
      <c r="L5" s="251"/>
      <c r="M5" s="251"/>
      <c r="N5" s="251"/>
      <c r="O5" s="252"/>
      <c r="P5" s="255"/>
      <c r="Q5" s="255"/>
      <c r="R5" s="255"/>
      <c r="S5" s="252"/>
      <c r="T5" s="252"/>
      <c r="U5" s="252"/>
      <c r="V5" s="256" t="s">
        <v>104</v>
      </c>
      <c r="W5" s="257"/>
      <c r="X5" s="252"/>
      <c r="Y5" s="252"/>
      <c r="AA5" s="138"/>
      <c r="AB5" s="138"/>
      <c r="AC5" s="138"/>
      <c r="AD5" s="138"/>
      <c r="AE5" s="138"/>
    </row>
    <row r="6" spans="1:33" ht="18" customHeight="1">
      <c r="A6" s="252"/>
      <c r="B6" s="252"/>
      <c r="C6" s="253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251"/>
      <c r="O6" s="251"/>
      <c r="P6" s="252"/>
      <c r="Q6" s="252"/>
      <c r="R6" s="252"/>
      <c r="S6" s="252"/>
      <c r="T6" s="252"/>
      <c r="U6" s="252"/>
      <c r="V6" s="252"/>
      <c r="W6" s="251"/>
      <c r="X6" s="251"/>
      <c r="Y6" s="252"/>
    </row>
    <row r="7" spans="1:33" ht="18" customHeight="1">
      <c r="A7" s="252"/>
      <c r="B7" s="252"/>
      <c r="C7" s="251" t="str">
        <f>Data!A16</f>
        <v>Repeatability ( n = 10 number of measurement )</v>
      </c>
      <c r="D7" s="251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1"/>
      <c r="X7" s="251"/>
      <c r="Y7" s="252"/>
    </row>
    <row r="8" spans="1:33" ht="18" customHeight="1">
      <c r="A8" s="252"/>
      <c r="B8" s="252"/>
      <c r="C8" s="252"/>
      <c r="D8" s="252"/>
      <c r="E8" s="252"/>
      <c r="F8" s="413" t="s">
        <v>99</v>
      </c>
      <c r="G8" s="414"/>
      <c r="H8" s="415"/>
      <c r="I8" s="413" t="s">
        <v>118</v>
      </c>
      <c r="J8" s="414"/>
      <c r="K8" s="415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1"/>
      <c r="X8" s="251"/>
      <c r="Y8" s="252"/>
    </row>
    <row r="9" spans="1:33" ht="18" customHeight="1">
      <c r="A9" s="252"/>
      <c r="B9" s="252"/>
      <c r="C9" s="252"/>
      <c r="D9" s="252"/>
      <c r="E9" s="252"/>
      <c r="F9" s="416"/>
      <c r="G9" s="417"/>
      <c r="H9" s="418"/>
      <c r="I9" s="416"/>
      <c r="J9" s="417"/>
      <c r="K9" s="418"/>
      <c r="L9" s="252"/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1"/>
      <c r="X9" s="251"/>
      <c r="Y9" s="252"/>
    </row>
    <row r="10" spans="1:33" ht="23.1" customHeight="1">
      <c r="A10" s="252"/>
      <c r="B10" s="252"/>
      <c r="C10" s="251"/>
      <c r="D10" s="252"/>
      <c r="E10" s="252"/>
      <c r="F10" s="409">
        <f>setm10</f>
        <v>1000</v>
      </c>
      <c r="G10" s="410"/>
      <c r="H10" s="258" t="str">
        <f>Data!I9</f>
        <v>g</v>
      </c>
      <c r="I10" s="411">
        <f>stdevm</f>
        <v>0</v>
      </c>
      <c r="J10" s="412"/>
      <c r="K10" s="259" t="str">
        <f>H10</f>
        <v>g</v>
      </c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1"/>
      <c r="X10" s="251"/>
      <c r="Y10" s="252"/>
    </row>
    <row r="11" spans="1:33" ht="18" customHeight="1">
      <c r="A11" s="252"/>
      <c r="B11" s="252"/>
      <c r="C11" s="251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1"/>
      <c r="X11" s="251"/>
      <c r="Y11" s="252"/>
    </row>
    <row r="12" spans="1:33" ht="18" customHeight="1">
      <c r="A12" s="252"/>
      <c r="B12" s="252"/>
      <c r="C12" s="252"/>
      <c r="D12" s="252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1"/>
      <c r="X12" s="251"/>
      <c r="Y12" s="252"/>
    </row>
    <row r="13" spans="1:33" ht="18" customHeight="1">
      <c r="A13" s="252"/>
      <c r="B13" s="252"/>
      <c r="C13" s="252" t="str">
        <f>Data!A22</f>
        <v xml:space="preserve">Departure of indication from nominal Value </v>
      </c>
      <c r="D13" s="252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2"/>
      <c r="Q13" s="252"/>
      <c r="R13" s="252"/>
      <c r="S13" s="419" t="s">
        <v>142</v>
      </c>
      <c r="T13" s="419"/>
      <c r="U13" s="260" t="str">
        <f>Data!I9</f>
        <v>g</v>
      </c>
      <c r="V13" s="252"/>
      <c r="W13" s="251"/>
      <c r="X13" s="251"/>
      <c r="Y13" s="252"/>
    </row>
    <row r="14" spans="1:33" ht="18" customHeight="1">
      <c r="A14" s="252"/>
      <c r="B14" s="252"/>
      <c r="C14" s="252"/>
      <c r="D14" s="252"/>
      <c r="E14" s="252"/>
      <c r="F14" s="429" t="s">
        <v>143</v>
      </c>
      <c r="G14" s="430"/>
      <c r="H14" s="430"/>
      <c r="I14" s="431"/>
      <c r="J14" s="429" t="s">
        <v>144</v>
      </c>
      <c r="K14" s="436"/>
      <c r="L14" s="436"/>
      <c r="M14" s="437"/>
      <c r="N14" s="435" t="s">
        <v>72</v>
      </c>
      <c r="O14" s="430"/>
      <c r="P14" s="430"/>
      <c r="Q14" s="431"/>
      <c r="R14" s="429" t="s">
        <v>169</v>
      </c>
      <c r="S14" s="436"/>
      <c r="T14" s="436"/>
      <c r="U14" s="437"/>
      <c r="V14" s="252"/>
      <c r="W14" s="252"/>
      <c r="X14" s="252"/>
      <c r="Y14" s="252"/>
      <c r="Z14" s="459" t="s">
        <v>21</v>
      </c>
      <c r="AA14" s="459"/>
      <c r="AB14" s="459"/>
      <c r="AC14" s="459"/>
    </row>
    <row r="15" spans="1:33" ht="18" customHeight="1">
      <c r="A15" s="252"/>
      <c r="B15" s="252"/>
      <c r="C15" s="252"/>
      <c r="D15" s="252"/>
      <c r="E15" s="252"/>
      <c r="F15" s="432"/>
      <c r="G15" s="433"/>
      <c r="H15" s="433"/>
      <c r="I15" s="434"/>
      <c r="J15" s="438"/>
      <c r="K15" s="439"/>
      <c r="L15" s="439"/>
      <c r="M15" s="440"/>
      <c r="N15" s="432"/>
      <c r="O15" s="433"/>
      <c r="P15" s="433"/>
      <c r="Q15" s="434"/>
      <c r="R15" s="438"/>
      <c r="S15" s="439"/>
      <c r="T15" s="439"/>
      <c r="U15" s="440"/>
      <c r="V15" s="252"/>
      <c r="W15" s="252"/>
      <c r="X15" s="252"/>
      <c r="Y15" s="252"/>
      <c r="Z15" s="406" t="s">
        <v>8</v>
      </c>
      <c r="AA15" s="407"/>
      <c r="AB15" s="407"/>
      <c r="AC15" s="408"/>
      <c r="AF15" s="211" t="s">
        <v>147</v>
      </c>
      <c r="AG15" s="211" t="s">
        <v>167</v>
      </c>
    </row>
    <row r="16" spans="1:33" ht="21" customHeight="1">
      <c r="A16" s="252"/>
      <c r="B16" s="252"/>
      <c r="C16" s="252"/>
      <c r="D16" s="252"/>
      <c r="E16" s="252"/>
      <c r="F16" s="435">
        <f>setm0</f>
        <v>0</v>
      </c>
      <c r="G16" s="430"/>
      <c r="H16" s="430"/>
      <c r="I16" s="431"/>
      <c r="J16" s="441">
        <f>uucav0</f>
        <v>0</v>
      </c>
      <c r="K16" s="442"/>
      <c r="L16" s="442"/>
      <c r="M16" s="443"/>
      <c r="N16" s="441">
        <f>eror0</f>
        <v>0</v>
      </c>
      <c r="O16" s="442"/>
      <c r="P16" s="442"/>
      <c r="Q16" s="443"/>
      <c r="R16" s="444">
        <f>IF(Z16&gt;=AG16,Z16,AG16)</f>
        <v>0.96000000000000008</v>
      </c>
      <c r="S16" s="445"/>
      <c r="T16" s="445"/>
      <c r="U16" s="446"/>
      <c r="V16" s="252"/>
      <c r="W16" s="252"/>
      <c r="X16" s="252"/>
      <c r="Y16" s="252"/>
      <c r="Z16" s="403">
        <f>ucer0*1000</f>
        <v>0.96000000000000008</v>
      </c>
      <c r="AA16" s="404"/>
      <c r="AB16" s="404"/>
      <c r="AC16" s="405"/>
      <c r="AF16" s="214" t="s">
        <v>174</v>
      </c>
      <c r="AG16" s="213">
        <v>0.04</v>
      </c>
    </row>
    <row r="17" spans="1:43" ht="21" customHeight="1">
      <c r="A17" s="252"/>
      <c r="B17" s="252"/>
      <c r="C17" s="261"/>
      <c r="D17" s="261"/>
      <c r="E17" s="252"/>
      <c r="F17" s="426">
        <f>setm1</f>
        <v>100</v>
      </c>
      <c r="G17" s="427"/>
      <c r="H17" s="427"/>
      <c r="I17" s="428"/>
      <c r="J17" s="423">
        <f>uucav1</f>
        <v>100</v>
      </c>
      <c r="K17" s="424"/>
      <c r="L17" s="424"/>
      <c r="M17" s="425"/>
      <c r="N17" s="423">
        <f>eror1</f>
        <v>0</v>
      </c>
      <c r="O17" s="424"/>
      <c r="P17" s="424"/>
      <c r="Q17" s="425"/>
      <c r="R17" s="420">
        <f>IF(Z17&gt;=AG17,Z17,AG17)</f>
        <v>0.98</v>
      </c>
      <c r="S17" s="421"/>
      <c r="T17" s="421"/>
      <c r="U17" s="422"/>
      <c r="V17" s="252"/>
      <c r="W17" s="252"/>
      <c r="X17" s="252"/>
      <c r="Y17" s="252"/>
      <c r="Z17" s="403">
        <f>ucer1*1000</f>
        <v>0.98</v>
      </c>
      <c r="AA17" s="404"/>
      <c r="AB17" s="404"/>
      <c r="AC17" s="405"/>
      <c r="AD17" s="212"/>
      <c r="AE17" s="212"/>
      <c r="AF17" s="216"/>
      <c r="AG17" s="213">
        <v>0.16</v>
      </c>
      <c r="AJ17" s="139">
        <f t="shared" ref="AJ17:AJ26" si="0">kfac1</f>
        <v>3.31</v>
      </c>
    </row>
    <row r="18" spans="1:43" ht="21" customHeight="1">
      <c r="A18" s="252"/>
      <c r="B18" s="252"/>
      <c r="C18" s="251"/>
      <c r="D18" s="252"/>
      <c r="E18" s="252"/>
      <c r="F18" s="426">
        <f>setm2</f>
        <v>200</v>
      </c>
      <c r="G18" s="427"/>
      <c r="H18" s="427"/>
      <c r="I18" s="428"/>
      <c r="J18" s="423">
        <f>uucav2</f>
        <v>200</v>
      </c>
      <c r="K18" s="424"/>
      <c r="L18" s="424"/>
      <c r="M18" s="425"/>
      <c r="N18" s="423">
        <f>eror2</f>
        <v>0</v>
      </c>
      <c r="O18" s="424"/>
      <c r="P18" s="424"/>
      <c r="Q18" s="425"/>
      <c r="R18" s="420">
        <f t="shared" ref="R18" si="1">IF(Z18&gt;=AG18,Z18,AG18)</f>
        <v>0.9</v>
      </c>
      <c r="S18" s="421"/>
      <c r="T18" s="421"/>
      <c r="U18" s="422"/>
      <c r="V18" s="252"/>
      <c r="W18" s="252"/>
      <c r="X18" s="252"/>
      <c r="Y18" s="252"/>
      <c r="Z18" s="403">
        <f>ucer2*1000</f>
        <v>0.9</v>
      </c>
      <c r="AA18" s="404"/>
      <c r="AB18" s="404"/>
      <c r="AC18" s="405"/>
      <c r="AD18" s="212"/>
      <c r="AE18" s="212"/>
      <c r="AF18" s="216"/>
      <c r="AG18" s="217">
        <v>0.3</v>
      </c>
      <c r="AJ18" s="139">
        <f t="shared" si="0"/>
        <v>3.31</v>
      </c>
    </row>
    <row r="19" spans="1:43" ht="21" customHeight="1">
      <c r="A19" s="252"/>
      <c r="B19" s="252"/>
      <c r="C19" s="251"/>
      <c r="D19" s="252"/>
      <c r="E19" s="252"/>
      <c r="F19" s="426">
        <f>setm3</f>
        <v>300</v>
      </c>
      <c r="G19" s="427"/>
      <c r="H19" s="427"/>
      <c r="I19" s="428"/>
      <c r="J19" s="423">
        <f>uucav3</f>
        <v>300</v>
      </c>
      <c r="K19" s="424"/>
      <c r="L19" s="424"/>
      <c r="M19" s="425"/>
      <c r="N19" s="423">
        <f>eror3</f>
        <v>0</v>
      </c>
      <c r="O19" s="424"/>
      <c r="P19" s="424"/>
      <c r="Q19" s="425"/>
      <c r="R19" s="420">
        <f t="shared" ref="R19:R26" si="2">IF(Z19&gt;=AG19,Z19,AG19)</f>
        <v>0.9</v>
      </c>
      <c r="S19" s="421"/>
      <c r="T19" s="421"/>
      <c r="U19" s="422"/>
      <c r="V19" s="252"/>
      <c r="W19" s="252"/>
      <c r="X19" s="252"/>
      <c r="Y19" s="252"/>
      <c r="Z19" s="403">
        <f>ucer3*1000</f>
        <v>0.9</v>
      </c>
      <c r="AA19" s="404"/>
      <c r="AB19" s="404"/>
      <c r="AC19" s="405"/>
      <c r="AD19" s="212"/>
      <c r="AE19" s="212"/>
      <c r="AF19" s="216"/>
      <c r="AG19" s="217">
        <v>0.4</v>
      </c>
      <c r="AJ19" s="139">
        <f t="shared" si="0"/>
        <v>3.31</v>
      </c>
    </row>
    <row r="20" spans="1:43" ht="21" customHeight="1">
      <c r="A20" s="252"/>
      <c r="B20" s="252"/>
      <c r="C20" s="251"/>
      <c r="D20" s="252"/>
      <c r="E20" s="252"/>
      <c r="F20" s="426">
        <f>setm4</f>
        <v>400</v>
      </c>
      <c r="G20" s="427"/>
      <c r="H20" s="427"/>
      <c r="I20" s="428"/>
      <c r="J20" s="423">
        <f>uucav4</f>
        <v>400</v>
      </c>
      <c r="K20" s="424"/>
      <c r="L20" s="424"/>
      <c r="M20" s="425"/>
      <c r="N20" s="423">
        <f>eror4</f>
        <v>0</v>
      </c>
      <c r="O20" s="424"/>
      <c r="P20" s="424"/>
      <c r="Q20" s="425"/>
      <c r="R20" s="420">
        <f t="shared" si="2"/>
        <v>1</v>
      </c>
      <c r="S20" s="421"/>
      <c r="T20" s="421"/>
      <c r="U20" s="422"/>
      <c r="V20" s="252"/>
      <c r="W20" s="252"/>
      <c r="X20" s="252"/>
      <c r="Y20" s="252"/>
      <c r="Z20" s="403">
        <f>ucer4*1000</f>
        <v>0.88</v>
      </c>
      <c r="AA20" s="404"/>
      <c r="AB20" s="404"/>
      <c r="AC20" s="405"/>
      <c r="AD20" s="212"/>
      <c r="AE20" s="212"/>
      <c r="AF20" s="216"/>
      <c r="AG20" s="217">
        <v>1</v>
      </c>
      <c r="AJ20" s="139">
        <f t="shared" si="0"/>
        <v>3.31</v>
      </c>
    </row>
    <row r="21" spans="1:43" ht="21" customHeight="1">
      <c r="A21" s="252"/>
      <c r="B21" s="252"/>
      <c r="C21" s="251"/>
      <c r="D21" s="252"/>
      <c r="E21" s="252"/>
      <c r="F21" s="426">
        <f>setm5</f>
        <v>500</v>
      </c>
      <c r="G21" s="427"/>
      <c r="H21" s="427"/>
      <c r="I21" s="428"/>
      <c r="J21" s="423">
        <f>uucav5</f>
        <v>500</v>
      </c>
      <c r="K21" s="424"/>
      <c r="L21" s="424"/>
      <c r="M21" s="425"/>
      <c r="N21" s="423">
        <f>eror5</f>
        <v>0</v>
      </c>
      <c r="O21" s="424"/>
      <c r="P21" s="424"/>
      <c r="Q21" s="425"/>
      <c r="R21" s="420">
        <f t="shared" si="2"/>
        <v>1</v>
      </c>
      <c r="S21" s="421"/>
      <c r="T21" s="421"/>
      <c r="U21" s="422"/>
      <c r="V21" s="252"/>
      <c r="W21" s="252"/>
      <c r="X21" s="252"/>
      <c r="Y21" s="252"/>
      <c r="Z21" s="400">
        <f>ucer5*1000</f>
        <v>0.92</v>
      </c>
      <c r="AA21" s="401"/>
      <c r="AB21" s="401"/>
      <c r="AC21" s="402"/>
      <c r="AD21" s="212"/>
      <c r="AE21" s="212"/>
      <c r="AF21" s="216"/>
      <c r="AG21" s="217">
        <v>1</v>
      </c>
      <c r="AJ21" s="139">
        <f t="shared" si="0"/>
        <v>3.31</v>
      </c>
    </row>
    <row r="22" spans="1:43" ht="21" customHeight="1">
      <c r="A22" s="252"/>
      <c r="B22" s="252"/>
      <c r="C22" s="252"/>
      <c r="D22" s="252"/>
      <c r="E22" s="252"/>
      <c r="F22" s="426">
        <f>setm6</f>
        <v>600</v>
      </c>
      <c r="G22" s="427"/>
      <c r="H22" s="427"/>
      <c r="I22" s="428"/>
      <c r="J22" s="423">
        <f>uucav6</f>
        <v>600</v>
      </c>
      <c r="K22" s="424"/>
      <c r="L22" s="424"/>
      <c r="M22" s="425"/>
      <c r="N22" s="423">
        <f>eror6</f>
        <v>0</v>
      </c>
      <c r="O22" s="424"/>
      <c r="P22" s="424"/>
      <c r="Q22" s="425"/>
      <c r="R22" s="420">
        <f t="shared" si="2"/>
        <v>1</v>
      </c>
      <c r="S22" s="421"/>
      <c r="T22" s="421"/>
      <c r="U22" s="422"/>
      <c r="V22" s="252"/>
      <c r="W22" s="252"/>
      <c r="X22" s="252"/>
      <c r="Y22" s="252"/>
      <c r="Z22" s="403">
        <f>ucer1*1000</f>
        <v>0.98</v>
      </c>
      <c r="AA22" s="404"/>
      <c r="AB22" s="404"/>
      <c r="AC22" s="405"/>
      <c r="AF22" s="216"/>
      <c r="AG22" s="217">
        <v>1</v>
      </c>
      <c r="AJ22" s="139">
        <f t="shared" si="0"/>
        <v>3.31</v>
      </c>
    </row>
    <row r="23" spans="1:43" ht="21" customHeight="1">
      <c r="A23" s="252"/>
      <c r="B23" s="252"/>
      <c r="C23" s="252"/>
      <c r="D23" s="252"/>
      <c r="E23" s="252"/>
      <c r="F23" s="426">
        <f>setm7</f>
        <v>700</v>
      </c>
      <c r="G23" s="427"/>
      <c r="H23" s="427"/>
      <c r="I23" s="428"/>
      <c r="J23" s="423">
        <f>uucav7</f>
        <v>700</v>
      </c>
      <c r="K23" s="424"/>
      <c r="L23" s="424"/>
      <c r="M23" s="425"/>
      <c r="N23" s="423">
        <f>eror7</f>
        <v>0</v>
      </c>
      <c r="O23" s="424"/>
      <c r="P23" s="424"/>
      <c r="Q23" s="425"/>
      <c r="R23" s="420">
        <f t="shared" si="2"/>
        <v>1</v>
      </c>
      <c r="S23" s="421"/>
      <c r="T23" s="421"/>
      <c r="U23" s="422"/>
      <c r="V23" s="252"/>
      <c r="W23" s="252"/>
      <c r="X23" s="252"/>
      <c r="Y23" s="252"/>
      <c r="Z23" s="403">
        <f>ucer2*1000</f>
        <v>0.9</v>
      </c>
      <c r="AA23" s="404"/>
      <c r="AB23" s="404"/>
      <c r="AC23" s="405"/>
      <c r="AF23" s="216"/>
      <c r="AG23" s="217">
        <v>1</v>
      </c>
      <c r="AJ23" s="139">
        <f t="shared" si="0"/>
        <v>3.31</v>
      </c>
    </row>
    <row r="24" spans="1:43" ht="21" customHeight="1">
      <c r="A24" s="252"/>
      <c r="B24" s="252"/>
      <c r="C24" s="252"/>
      <c r="D24" s="252"/>
      <c r="E24" s="252"/>
      <c r="F24" s="426">
        <f>setm8</f>
        <v>800</v>
      </c>
      <c r="G24" s="427"/>
      <c r="H24" s="427"/>
      <c r="I24" s="428"/>
      <c r="J24" s="423">
        <f>uucav8</f>
        <v>800</v>
      </c>
      <c r="K24" s="424"/>
      <c r="L24" s="424"/>
      <c r="M24" s="425"/>
      <c r="N24" s="423">
        <f>eror8</f>
        <v>0</v>
      </c>
      <c r="O24" s="424"/>
      <c r="P24" s="424"/>
      <c r="Q24" s="425"/>
      <c r="R24" s="420">
        <f t="shared" si="2"/>
        <v>1</v>
      </c>
      <c r="S24" s="421"/>
      <c r="T24" s="421"/>
      <c r="U24" s="422"/>
      <c r="V24" s="252"/>
      <c r="W24" s="252"/>
      <c r="X24" s="252"/>
      <c r="Y24" s="252"/>
      <c r="Z24" s="403">
        <f>ucer3*1000</f>
        <v>0.9</v>
      </c>
      <c r="AA24" s="404"/>
      <c r="AB24" s="404"/>
      <c r="AC24" s="405"/>
      <c r="AF24" s="216"/>
      <c r="AG24" s="217">
        <v>1</v>
      </c>
      <c r="AJ24" s="139">
        <f t="shared" si="0"/>
        <v>3.31</v>
      </c>
    </row>
    <row r="25" spans="1:43" ht="21" customHeight="1">
      <c r="A25" s="252"/>
      <c r="B25" s="252"/>
      <c r="C25" s="252"/>
      <c r="D25" s="252"/>
      <c r="E25" s="252"/>
      <c r="F25" s="426">
        <f>setm9</f>
        <v>900</v>
      </c>
      <c r="G25" s="427"/>
      <c r="H25" s="427"/>
      <c r="I25" s="428"/>
      <c r="J25" s="423">
        <f>uucav9</f>
        <v>900</v>
      </c>
      <c r="K25" s="424"/>
      <c r="L25" s="424"/>
      <c r="M25" s="425"/>
      <c r="N25" s="423">
        <f>eror9</f>
        <v>0</v>
      </c>
      <c r="O25" s="424"/>
      <c r="P25" s="424"/>
      <c r="Q25" s="425"/>
      <c r="R25" s="420">
        <f t="shared" si="2"/>
        <v>1</v>
      </c>
      <c r="S25" s="421"/>
      <c r="T25" s="421"/>
      <c r="U25" s="422"/>
      <c r="V25" s="252"/>
      <c r="W25" s="252"/>
      <c r="X25" s="252"/>
      <c r="Y25" s="252"/>
      <c r="Z25" s="403">
        <f>ucer4*1000</f>
        <v>0.88</v>
      </c>
      <c r="AA25" s="404"/>
      <c r="AB25" s="404"/>
      <c r="AC25" s="405"/>
      <c r="AF25" s="216"/>
      <c r="AG25" s="217">
        <v>1</v>
      </c>
      <c r="AJ25" s="139">
        <f t="shared" si="0"/>
        <v>3.31</v>
      </c>
    </row>
    <row r="26" spans="1:43" ht="21" customHeight="1">
      <c r="A26" s="252"/>
      <c r="B26" s="261"/>
      <c r="C26" s="252"/>
      <c r="D26" s="252"/>
      <c r="E26" s="252"/>
      <c r="F26" s="432">
        <f>setm10</f>
        <v>1000</v>
      </c>
      <c r="G26" s="433"/>
      <c r="H26" s="433"/>
      <c r="I26" s="434"/>
      <c r="J26" s="451">
        <f>uucav10</f>
        <v>1000</v>
      </c>
      <c r="K26" s="452"/>
      <c r="L26" s="452"/>
      <c r="M26" s="453"/>
      <c r="N26" s="451">
        <f>eror10</f>
        <v>0</v>
      </c>
      <c r="O26" s="452"/>
      <c r="P26" s="452"/>
      <c r="Q26" s="453"/>
      <c r="R26" s="456">
        <f t="shared" si="2"/>
        <v>1</v>
      </c>
      <c r="S26" s="457"/>
      <c r="T26" s="457"/>
      <c r="U26" s="458"/>
      <c r="V26" s="252"/>
      <c r="W26" s="252"/>
      <c r="X26" s="252"/>
      <c r="Y26" s="252"/>
      <c r="Z26" s="400">
        <f>ucer5*1000</f>
        <v>0.92</v>
      </c>
      <c r="AA26" s="401"/>
      <c r="AB26" s="401"/>
      <c r="AC26" s="402"/>
      <c r="AF26" s="215"/>
      <c r="AG26" s="217">
        <v>1</v>
      </c>
      <c r="AJ26" s="139">
        <f t="shared" si="0"/>
        <v>3.31</v>
      </c>
    </row>
    <row r="27" spans="1:43" ht="18" customHeight="1">
      <c r="A27" s="252"/>
      <c r="B27" s="252"/>
      <c r="C27" s="252"/>
      <c r="D27" s="252"/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62"/>
      <c r="Y27" s="263"/>
      <c r="Z27" s="141"/>
    </row>
    <row r="28" spans="1:43" ht="18" customHeight="1">
      <c r="A28" s="252"/>
      <c r="B28" s="253"/>
      <c r="C28" s="252" t="str">
        <f>Data!A37</f>
        <v>Off - Center Loading</v>
      </c>
      <c r="D28" s="252"/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62"/>
      <c r="Y28" s="252"/>
    </row>
    <row r="29" spans="1:43" ht="18" customHeight="1">
      <c r="A29" s="252"/>
      <c r="B29" s="253"/>
      <c r="C29" s="252"/>
      <c r="D29" s="252"/>
      <c r="E29" s="252"/>
      <c r="F29" s="466" t="str">
        <f>Data!A40</f>
        <v>Center</v>
      </c>
      <c r="G29" s="467"/>
      <c r="H29" s="468"/>
      <c r="I29" s="447">
        <f>AVERAGE(Data!D40:S40)</f>
        <v>250</v>
      </c>
      <c r="J29" s="448"/>
      <c r="K29" s="264" t="str">
        <f>Data!I9</f>
        <v>g</v>
      </c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141"/>
    </row>
    <row r="30" spans="1:43" ht="18" customHeight="1">
      <c r="A30" s="252"/>
      <c r="B30" s="253"/>
      <c r="C30" s="252"/>
      <c r="D30" s="252"/>
      <c r="E30" s="252"/>
      <c r="F30" s="469" t="str">
        <f>Data!A41</f>
        <v>Front</v>
      </c>
      <c r="G30" s="470"/>
      <c r="H30" s="471"/>
      <c r="I30" s="472">
        <f>AVERAGE(Data!D41:S41)</f>
        <v>250</v>
      </c>
      <c r="J30" s="473"/>
      <c r="K30" s="265" t="str">
        <f>K29</f>
        <v>g</v>
      </c>
      <c r="L30" s="252"/>
      <c r="M30" s="252"/>
      <c r="N30" s="252"/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161"/>
      <c r="AA30" s="161"/>
      <c r="AB30" s="161"/>
      <c r="AC30" s="161"/>
      <c r="AD30" s="161"/>
      <c r="AN30" s="161"/>
      <c r="AO30" s="161"/>
      <c r="AP30" s="161"/>
      <c r="AQ30" s="161"/>
    </row>
    <row r="31" spans="1:43" ht="18" customHeight="1">
      <c r="A31" s="252"/>
      <c r="B31" s="252"/>
      <c r="C31" s="252"/>
      <c r="D31" s="252"/>
      <c r="E31" s="252"/>
      <c r="F31" s="469" t="str">
        <f>Data!A42</f>
        <v>Back</v>
      </c>
      <c r="G31" s="470"/>
      <c r="H31" s="471"/>
      <c r="I31" s="472">
        <f>AVERAGE(Data!D42:S42)</f>
        <v>250</v>
      </c>
      <c r="J31" s="473"/>
      <c r="K31" s="265" t="str">
        <f>K29</f>
        <v>g</v>
      </c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161"/>
      <c r="AA31" s="161"/>
      <c r="AB31" s="161"/>
      <c r="AC31" s="161"/>
      <c r="AD31" s="161"/>
      <c r="AN31" s="161"/>
      <c r="AO31" s="161"/>
      <c r="AP31" s="161"/>
      <c r="AQ31" s="161"/>
    </row>
    <row r="32" spans="1:43" ht="18" customHeight="1">
      <c r="A32" s="252"/>
      <c r="B32" s="252"/>
      <c r="C32" s="252"/>
      <c r="D32" s="252"/>
      <c r="E32" s="252"/>
      <c r="F32" s="469" t="str">
        <f>Data!A43</f>
        <v>Left</v>
      </c>
      <c r="G32" s="470"/>
      <c r="H32" s="471"/>
      <c r="I32" s="472">
        <f>AVERAGE(Data!D43:S43)</f>
        <v>250</v>
      </c>
      <c r="J32" s="473"/>
      <c r="K32" s="265" t="str">
        <f>K29</f>
        <v>g</v>
      </c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160"/>
      <c r="AA32" s="160"/>
      <c r="AB32" s="160"/>
      <c r="AC32" s="160"/>
      <c r="AD32" s="136"/>
      <c r="AN32" s="162"/>
      <c r="AO32" s="162"/>
      <c r="AP32" s="162"/>
      <c r="AQ32" s="162"/>
    </row>
    <row r="33" spans="1:43" ht="18" customHeight="1">
      <c r="A33" s="252"/>
      <c r="B33" s="252"/>
      <c r="C33" s="252"/>
      <c r="D33" s="252"/>
      <c r="E33" s="252"/>
      <c r="F33" s="463" t="str">
        <f>Data!A44</f>
        <v>Right</v>
      </c>
      <c r="G33" s="464"/>
      <c r="H33" s="465"/>
      <c r="I33" s="472">
        <f>AVERAGE(Data!D44:S44)</f>
        <v>250</v>
      </c>
      <c r="J33" s="473"/>
      <c r="K33" s="266" t="str">
        <f>K29</f>
        <v>g</v>
      </c>
      <c r="L33" s="252"/>
      <c r="M33" s="252"/>
      <c r="N33" s="252"/>
      <c r="O33" s="252"/>
      <c r="P33" s="252"/>
      <c r="Q33" s="252"/>
      <c r="R33" s="251"/>
      <c r="S33" s="267"/>
      <c r="T33" s="252"/>
      <c r="U33" s="252"/>
      <c r="V33" s="252"/>
      <c r="W33" s="252"/>
      <c r="X33" s="252"/>
      <c r="Y33" s="252"/>
      <c r="Z33" s="136"/>
    </row>
    <row r="34" spans="1:43" ht="18" customHeight="1">
      <c r="A34" s="252"/>
      <c r="B34" s="268"/>
      <c r="C34" s="252"/>
      <c r="D34" s="252"/>
      <c r="E34" s="252"/>
      <c r="F34" s="413" t="s">
        <v>119</v>
      </c>
      <c r="G34" s="414"/>
      <c r="H34" s="415"/>
      <c r="I34" s="447">
        <f>dem</f>
        <v>0</v>
      </c>
      <c r="J34" s="448"/>
      <c r="K34" s="454" t="str">
        <f>K29</f>
        <v>g</v>
      </c>
      <c r="L34" s="252"/>
      <c r="M34" s="252"/>
      <c r="N34" s="252"/>
      <c r="O34" s="252"/>
      <c r="P34" s="252"/>
      <c r="Q34" s="252"/>
      <c r="R34" s="267"/>
      <c r="S34" s="267"/>
      <c r="T34" s="252"/>
      <c r="U34" s="252"/>
      <c r="V34" s="252"/>
      <c r="W34" s="252"/>
      <c r="X34" s="252"/>
      <c r="Y34" s="252"/>
    </row>
    <row r="35" spans="1:43" ht="23.1" customHeight="1">
      <c r="A35" s="252"/>
      <c r="B35" s="252"/>
      <c r="C35" s="252"/>
      <c r="D35" s="252"/>
      <c r="E35" s="252"/>
      <c r="F35" s="416"/>
      <c r="G35" s="417"/>
      <c r="H35" s="418"/>
      <c r="I35" s="449"/>
      <c r="J35" s="450"/>
      <c r="K35" s="455"/>
      <c r="L35" s="252"/>
      <c r="M35" s="252"/>
      <c r="N35" s="252"/>
      <c r="O35" s="252"/>
      <c r="P35" s="252"/>
      <c r="Q35" s="252"/>
      <c r="R35" s="251"/>
      <c r="S35" s="251"/>
      <c r="T35" s="252"/>
      <c r="U35" s="252"/>
      <c r="V35" s="252"/>
      <c r="W35" s="252"/>
      <c r="X35" s="252"/>
      <c r="Y35" s="252"/>
      <c r="Z35" s="136"/>
      <c r="AM35" s="139"/>
      <c r="AN35" s="139"/>
      <c r="AO35" s="139"/>
      <c r="AP35" s="139"/>
      <c r="AQ35" s="139"/>
    </row>
    <row r="36" spans="1:43" ht="18" customHeight="1">
      <c r="X36" s="144"/>
      <c r="Z36" s="136"/>
      <c r="AM36" s="139"/>
      <c r="AN36" s="139"/>
      <c r="AO36" s="139"/>
      <c r="AP36" s="139"/>
      <c r="AQ36" s="139"/>
    </row>
    <row r="37" spans="1:43" ht="21" customHeight="1">
      <c r="B37" s="143"/>
      <c r="C37" s="41" t="s">
        <v>105</v>
      </c>
      <c r="E37" s="140"/>
      <c r="F37" s="140"/>
      <c r="G37" s="140"/>
      <c r="H37" s="140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2"/>
      <c r="V37" s="142"/>
      <c r="W37" s="141"/>
      <c r="X37" s="144"/>
      <c r="Z37" s="136"/>
      <c r="AM37" s="139"/>
      <c r="AN37" s="139"/>
      <c r="AO37" s="139"/>
      <c r="AP37" s="139"/>
      <c r="AQ37" s="139"/>
    </row>
    <row r="38" spans="1:43" ht="21" customHeight="1">
      <c r="B38" s="143"/>
      <c r="C38" s="460" t="s">
        <v>106</v>
      </c>
      <c r="D38" s="460"/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0"/>
      <c r="P38" s="460"/>
      <c r="Q38" s="460"/>
      <c r="R38" s="460"/>
      <c r="S38" s="460"/>
      <c r="T38" s="460"/>
      <c r="U38" s="460"/>
      <c r="V38" s="460"/>
      <c r="W38" s="460"/>
      <c r="X38" s="460"/>
      <c r="Y38" s="460"/>
      <c r="Z38" s="136"/>
      <c r="AM38" s="139"/>
      <c r="AN38" s="139"/>
      <c r="AO38" s="139"/>
      <c r="AP38" s="139"/>
      <c r="AQ38" s="139"/>
    </row>
    <row r="39" spans="1:43" ht="21" customHeight="1">
      <c r="A39" s="460" t="s">
        <v>107</v>
      </c>
      <c r="B39" s="460"/>
      <c r="C39" s="460"/>
      <c r="D39" s="460"/>
      <c r="E39" s="460"/>
      <c r="F39" s="460"/>
      <c r="G39" s="460"/>
      <c r="H39" s="460"/>
      <c r="I39" s="460"/>
      <c r="J39" s="460"/>
      <c r="K39" s="460"/>
      <c r="L39" s="460"/>
      <c r="M39" s="460"/>
      <c r="N39" s="460"/>
      <c r="O39" s="460"/>
      <c r="P39" s="460"/>
      <c r="Q39" s="460"/>
      <c r="R39" s="460"/>
      <c r="S39" s="460"/>
      <c r="T39" s="460"/>
      <c r="U39" s="460"/>
      <c r="V39" s="460"/>
      <c r="W39" s="460"/>
      <c r="X39" s="460"/>
      <c r="Y39" s="460"/>
      <c r="Z39" s="460"/>
      <c r="AM39" s="139"/>
      <c r="AN39" s="139"/>
      <c r="AO39" s="139"/>
      <c r="AP39" s="139"/>
      <c r="AQ39" s="139"/>
    </row>
    <row r="40" spans="1:43" ht="21" customHeight="1">
      <c r="A40" s="461" t="s">
        <v>108</v>
      </c>
      <c r="B40" s="461"/>
      <c r="C40" s="461"/>
      <c r="D40" s="461"/>
      <c r="E40" s="461"/>
      <c r="F40" s="461"/>
      <c r="G40" s="461"/>
      <c r="H40" s="461"/>
      <c r="I40" s="461"/>
      <c r="J40" s="461"/>
      <c r="K40" s="461"/>
      <c r="L40" s="461"/>
      <c r="M40" s="461"/>
      <c r="N40" s="461"/>
      <c r="O40" s="461"/>
      <c r="P40" s="461"/>
      <c r="Q40" s="461"/>
      <c r="R40" s="461"/>
      <c r="S40" s="461"/>
      <c r="T40" s="461"/>
      <c r="U40" s="461"/>
      <c r="V40" s="461"/>
      <c r="W40" s="461"/>
      <c r="X40" s="461"/>
      <c r="Y40" s="461"/>
      <c r="Z40" s="136"/>
      <c r="AM40" s="139"/>
      <c r="AN40" s="139"/>
      <c r="AO40" s="139"/>
      <c r="AP40" s="139"/>
      <c r="AQ40" s="139"/>
    </row>
    <row r="41" spans="1:43" ht="18" customHeight="1">
      <c r="Y41" s="136"/>
      <c r="Z41" s="136"/>
      <c r="AM41" s="139"/>
      <c r="AN41" s="139"/>
      <c r="AO41" s="139"/>
      <c r="AP41" s="139"/>
      <c r="AQ41" s="139"/>
    </row>
    <row r="42" spans="1:43" ht="18" customHeight="1">
      <c r="AM42" s="139"/>
      <c r="AN42" s="139"/>
      <c r="AO42" s="139"/>
      <c r="AP42" s="139"/>
      <c r="AQ42" s="139"/>
    </row>
    <row r="43" spans="1:43" ht="18" customHeight="1">
      <c r="AM43" s="139"/>
      <c r="AN43" s="139"/>
      <c r="AO43" s="139"/>
      <c r="AP43" s="139"/>
      <c r="AQ43" s="139"/>
    </row>
    <row r="44" spans="1:43" ht="18" customHeight="1">
      <c r="AM44" s="139"/>
      <c r="AN44" s="139"/>
      <c r="AO44" s="139"/>
      <c r="AP44" s="139"/>
      <c r="AQ44" s="139"/>
    </row>
    <row r="45" spans="1:43" ht="18" customHeight="1">
      <c r="AM45" s="139"/>
      <c r="AN45" s="139"/>
      <c r="AO45" s="139"/>
      <c r="AP45" s="139"/>
      <c r="AQ45" s="139"/>
    </row>
    <row r="46" spans="1:43" ht="18" customHeight="1">
      <c r="AM46" s="139"/>
      <c r="AN46" s="139"/>
      <c r="AO46" s="139"/>
      <c r="AP46" s="139"/>
      <c r="AQ46" s="139"/>
    </row>
    <row r="47" spans="1:43" ht="18" customHeight="1">
      <c r="AM47" s="139"/>
      <c r="AN47" s="139"/>
      <c r="AO47" s="139"/>
      <c r="AP47" s="139"/>
      <c r="AQ47" s="139"/>
    </row>
    <row r="48" spans="1:43" ht="18" customHeight="1">
      <c r="AM48" s="139"/>
      <c r="AN48" s="139"/>
      <c r="AO48" s="139"/>
      <c r="AP48" s="139"/>
      <c r="AQ48" s="139"/>
    </row>
    <row r="49" spans="39:43" ht="18" customHeight="1">
      <c r="AM49" s="139"/>
      <c r="AN49" s="139"/>
      <c r="AO49" s="139"/>
      <c r="AP49" s="139"/>
      <c r="AQ49" s="139"/>
    </row>
    <row r="50" spans="39:43" ht="18" customHeight="1">
      <c r="AM50" s="139"/>
      <c r="AN50" s="139"/>
      <c r="AO50" s="139"/>
      <c r="AP50" s="139"/>
      <c r="AQ50" s="139"/>
    </row>
    <row r="51" spans="39:43" ht="18" customHeight="1">
      <c r="AM51" s="139"/>
      <c r="AN51" s="139"/>
      <c r="AO51" s="139"/>
      <c r="AP51" s="139"/>
      <c r="AQ51" s="139"/>
    </row>
    <row r="52" spans="39:43" ht="18" customHeight="1">
      <c r="AM52" s="139"/>
      <c r="AN52" s="139"/>
      <c r="AO52" s="139"/>
      <c r="AP52" s="139"/>
      <c r="AQ52" s="139"/>
    </row>
    <row r="53" spans="39:43" ht="18" customHeight="1">
      <c r="AM53" s="139"/>
      <c r="AN53" s="139"/>
      <c r="AO53" s="139"/>
      <c r="AP53" s="139"/>
      <c r="AQ53" s="139"/>
    </row>
    <row r="54" spans="39:43" ht="18" customHeight="1">
      <c r="AM54" s="139"/>
      <c r="AN54" s="139"/>
      <c r="AO54" s="139"/>
      <c r="AP54" s="139"/>
      <c r="AQ54" s="139"/>
    </row>
    <row r="55" spans="39:43" ht="18" customHeight="1">
      <c r="AM55" s="139"/>
      <c r="AN55" s="139"/>
      <c r="AO55" s="139"/>
      <c r="AP55" s="139"/>
      <c r="AQ55" s="139"/>
    </row>
    <row r="56" spans="39:43" ht="18" customHeight="1">
      <c r="AM56" s="139"/>
      <c r="AN56" s="139"/>
      <c r="AO56" s="139"/>
      <c r="AP56" s="139"/>
      <c r="AQ56" s="139"/>
    </row>
    <row r="57" spans="39:43" ht="18" customHeight="1">
      <c r="AM57" s="139"/>
      <c r="AN57" s="139"/>
      <c r="AO57" s="139"/>
      <c r="AP57" s="139"/>
      <c r="AQ57" s="139"/>
    </row>
    <row r="58" spans="39:43" ht="18" customHeight="1">
      <c r="AM58" s="139"/>
      <c r="AN58" s="139"/>
      <c r="AO58" s="139"/>
      <c r="AP58" s="139"/>
      <c r="AQ58" s="139"/>
    </row>
    <row r="59" spans="39:43" ht="18" customHeight="1">
      <c r="AM59" s="139"/>
      <c r="AN59" s="139"/>
      <c r="AO59" s="139"/>
      <c r="AP59" s="139"/>
      <c r="AQ59" s="139"/>
    </row>
    <row r="60" spans="39:43" ht="18" customHeight="1">
      <c r="AM60" s="139"/>
      <c r="AN60" s="139"/>
      <c r="AO60" s="139"/>
      <c r="AP60" s="139"/>
      <c r="AQ60" s="139"/>
    </row>
    <row r="61" spans="39:43" ht="18" customHeight="1">
      <c r="AM61" s="139"/>
      <c r="AN61" s="139"/>
      <c r="AO61" s="139"/>
      <c r="AP61" s="139"/>
      <c r="AQ61" s="139"/>
    </row>
    <row r="62" spans="39:43" ht="18" customHeight="1">
      <c r="AM62" s="139"/>
      <c r="AN62" s="139"/>
      <c r="AO62" s="139"/>
      <c r="AP62" s="139"/>
      <c r="AQ62" s="139"/>
    </row>
    <row r="63" spans="39:43" ht="18" customHeight="1">
      <c r="AM63" s="139"/>
      <c r="AN63" s="139"/>
      <c r="AO63" s="139"/>
      <c r="AP63" s="139"/>
      <c r="AQ63" s="139"/>
    </row>
    <row r="64" spans="39:43" ht="18" customHeight="1">
      <c r="AM64" s="139"/>
      <c r="AN64" s="139"/>
      <c r="AO64" s="139"/>
      <c r="AP64" s="139"/>
      <c r="AQ64" s="139"/>
    </row>
    <row r="65" spans="39:43" ht="18" customHeight="1">
      <c r="AM65" s="139"/>
      <c r="AN65" s="139"/>
      <c r="AO65" s="139"/>
      <c r="AP65" s="139"/>
      <c r="AQ65" s="139"/>
    </row>
    <row r="66" spans="39:43" ht="18" customHeight="1">
      <c r="AM66" s="139"/>
      <c r="AN66" s="139"/>
      <c r="AO66" s="139"/>
      <c r="AP66" s="139"/>
      <c r="AQ66" s="139"/>
    </row>
    <row r="67" spans="39:43" ht="18" customHeight="1">
      <c r="AM67" s="139"/>
      <c r="AN67" s="139"/>
      <c r="AO67" s="139"/>
      <c r="AP67" s="139"/>
      <c r="AQ67" s="139"/>
    </row>
    <row r="68" spans="39:43" ht="18" customHeight="1">
      <c r="AM68" s="139"/>
      <c r="AN68" s="139"/>
      <c r="AO68" s="139"/>
      <c r="AP68" s="139"/>
      <c r="AQ68" s="139"/>
    </row>
    <row r="69" spans="39:43" ht="18" customHeight="1">
      <c r="AM69" s="139"/>
      <c r="AN69" s="139"/>
      <c r="AO69" s="139"/>
      <c r="AP69" s="139"/>
      <c r="AQ69" s="139"/>
    </row>
    <row r="70" spans="39:43" ht="18" customHeight="1">
      <c r="AM70" s="139"/>
      <c r="AN70" s="139"/>
      <c r="AO70" s="139"/>
      <c r="AP70" s="139"/>
      <c r="AQ70" s="139"/>
    </row>
    <row r="71" spans="39:43" ht="18" customHeight="1">
      <c r="AM71" s="139"/>
      <c r="AN71" s="139"/>
      <c r="AO71" s="139"/>
      <c r="AP71" s="139"/>
      <c r="AQ71" s="139"/>
    </row>
    <row r="72" spans="39:43" ht="18" customHeight="1">
      <c r="AM72" s="139"/>
      <c r="AN72" s="139"/>
      <c r="AO72" s="139"/>
      <c r="AP72" s="139"/>
      <c r="AQ72" s="139"/>
    </row>
    <row r="73" spans="39:43" ht="18" customHeight="1">
      <c r="AM73" s="139"/>
      <c r="AN73" s="139"/>
      <c r="AO73" s="139"/>
      <c r="AP73" s="139"/>
      <c r="AQ73" s="139"/>
    </row>
    <row r="74" spans="39:43" ht="18" customHeight="1">
      <c r="AM74" s="139"/>
      <c r="AN74" s="139"/>
      <c r="AO74" s="139"/>
      <c r="AP74" s="139"/>
      <c r="AQ74" s="139"/>
    </row>
    <row r="75" spans="39:43" ht="18" customHeight="1">
      <c r="AM75" s="139"/>
      <c r="AN75" s="139"/>
      <c r="AO75" s="139"/>
      <c r="AP75" s="139"/>
      <c r="AQ75" s="139"/>
    </row>
    <row r="76" spans="39:43" ht="18" customHeight="1">
      <c r="AM76" s="139"/>
      <c r="AN76" s="139"/>
      <c r="AO76" s="139"/>
      <c r="AP76" s="139"/>
      <c r="AQ76" s="139"/>
    </row>
  </sheetData>
  <sheetProtection sheet="1" objects="1" scenarios="1"/>
  <mergeCells count="83">
    <mergeCell ref="Z14:AC14"/>
    <mergeCell ref="C38:Y38"/>
    <mergeCell ref="A39:Z39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J26:M26"/>
    <mergeCell ref="N25:Q25"/>
    <mergeCell ref="R20:U20"/>
    <mergeCell ref="R21:U21"/>
    <mergeCell ref="R22:U22"/>
    <mergeCell ref="R23:U23"/>
    <mergeCell ref="R24:U24"/>
    <mergeCell ref="N20:Q20"/>
    <mergeCell ref="N21:Q21"/>
    <mergeCell ref="N22:Q22"/>
    <mergeCell ref="N23:Q23"/>
    <mergeCell ref="N24:Q24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R19:U19"/>
    <mergeCell ref="N19:Q19"/>
    <mergeCell ref="J19:M19"/>
    <mergeCell ref="F19:I19"/>
    <mergeCell ref="R18:U18"/>
    <mergeCell ref="N18:Q18"/>
    <mergeCell ref="J18:M18"/>
    <mergeCell ref="F18:I18"/>
    <mergeCell ref="F10:G10"/>
    <mergeCell ref="I10:J10"/>
    <mergeCell ref="F8:H9"/>
    <mergeCell ref="I8:K9"/>
    <mergeCell ref="S13:T13"/>
    <mergeCell ref="Z15:AC15"/>
    <mergeCell ref="Z17:AC17"/>
    <mergeCell ref="Z18:AC18"/>
    <mergeCell ref="Z19:AC19"/>
    <mergeCell ref="Z20:AC20"/>
    <mergeCell ref="Z16:AC16"/>
    <mergeCell ref="Z26:AC26"/>
    <mergeCell ref="Z21:AC21"/>
    <mergeCell ref="Z22:AC22"/>
    <mergeCell ref="Z23:AC23"/>
    <mergeCell ref="Z24:AC24"/>
    <mergeCell ref="Z25:AC25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tabSelected="1" zoomScaleNormal="100" workbookViewId="0">
      <selection activeCell="C22" sqref="C22"/>
    </sheetView>
  </sheetViews>
  <sheetFormatPr defaultRowHeight="18" customHeight="1"/>
  <cols>
    <col min="1" max="1" width="1.42578125" customWidth="1"/>
    <col min="2" max="2" width="8.140625" style="5" customWidth="1"/>
    <col min="3" max="3" width="8.42578125" style="5" customWidth="1"/>
    <col min="4" max="11" width="8.140625" style="5" customWidth="1"/>
    <col min="12" max="12" width="9.7109375" style="5" customWidth="1"/>
    <col min="13" max="15" width="8.140625" style="5" customWidth="1"/>
    <col min="16" max="16" width="9" style="5" customWidth="1"/>
    <col min="17" max="17" width="8.140625" style="5" customWidth="1"/>
    <col min="18" max="19" width="1.425781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18" customHeight="1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18" customHeight="1">
      <c r="A2" s="1"/>
      <c r="B2" s="474" t="s">
        <v>61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475" t="s">
        <v>0</v>
      </c>
      <c r="C3" s="477" t="s">
        <v>1</v>
      </c>
      <c r="D3" s="478"/>
      <c r="E3" s="478"/>
      <c r="F3" s="478"/>
      <c r="G3" s="479"/>
      <c r="H3" s="477" t="s">
        <v>2</v>
      </c>
      <c r="I3" s="479"/>
      <c r="J3" s="477" t="s">
        <v>3</v>
      </c>
      <c r="K3" s="479"/>
      <c r="L3" s="477" t="s">
        <v>4</v>
      </c>
      <c r="M3" s="479"/>
      <c r="N3" s="483" t="s">
        <v>197</v>
      </c>
      <c r="O3" s="484"/>
      <c r="P3" s="489" t="s">
        <v>198</v>
      </c>
      <c r="Q3" s="490"/>
      <c r="T3" s="480" t="s">
        <v>196</v>
      </c>
      <c r="U3" s="480" t="s">
        <v>195</v>
      </c>
      <c r="V3" s="480" t="s">
        <v>191</v>
      </c>
      <c r="W3" s="480" t="s">
        <v>192</v>
      </c>
      <c r="X3" s="480" t="s">
        <v>193</v>
      </c>
    </row>
    <row r="4" spans="1:244" ht="18" customHeight="1">
      <c r="B4" s="476"/>
      <c r="C4" s="498" t="s">
        <v>7</v>
      </c>
      <c r="D4" s="499"/>
      <c r="E4" s="499"/>
      <c r="F4" s="499"/>
      <c r="G4" s="500"/>
      <c r="H4" s="498" t="s">
        <v>194</v>
      </c>
      <c r="I4" s="500"/>
      <c r="J4" s="498" t="s">
        <v>8</v>
      </c>
      <c r="K4" s="500"/>
      <c r="L4" s="498" t="s">
        <v>9</v>
      </c>
      <c r="M4" s="500"/>
      <c r="N4" s="485"/>
      <c r="O4" s="486"/>
      <c r="P4" s="491"/>
      <c r="Q4" s="492"/>
      <c r="T4" s="481"/>
      <c r="U4" s="481"/>
      <c r="V4" s="481"/>
      <c r="W4" s="481"/>
      <c r="X4" s="481"/>
    </row>
    <row r="5" spans="1:244" ht="18" customHeight="1">
      <c r="B5" s="287" t="str">
        <f>Data!I9</f>
        <v>g</v>
      </c>
      <c r="C5" s="501" t="str">
        <f>B5</f>
        <v>g</v>
      </c>
      <c r="D5" s="502"/>
      <c r="E5" s="502"/>
      <c r="F5" s="502"/>
      <c r="G5" s="503"/>
      <c r="H5" s="501" t="str">
        <f>C5</f>
        <v>g</v>
      </c>
      <c r="I5" s="503"/>
      <c r="J5" s="501" t="str">
        <f>H5</f>
        <v>g</v>
      </c>
      <c r="K5" s="503"/>
      <c r="L5" s="501" t="str">
        <f>J5</f>
        <v>g</v>
      </c>
      <c r="M5" s="503"/>
      <c r="N5" s="487"/>
      <c r="O5" s="488"/>
      <c r="P5" s="493"/>
      <c r="Q5" s="494"/>
      <c r="T5" s="482"/>
      <c r="U5" s="482"/>
      <c r="V5" s="482"/>
      <c r="W5" s="482"/>
      <c r="X5" s="288"/>
    </row>
    <row r="6" spans="1:244" ht="18" customHeight="1">
      <c r="B6" s="274" t="s">
        <v>10</v>
      </c>
      <c r="C6" s="495" t="s">
        <v>10</v>
      </c>
      <c r="D6" s="496"/>
      <c r="E6" s="496"/>
      <c r="F6" s="497"/>
      <c r="G6" s="275" t="s">
        <v>6</v>
      </c>
      <c r="H6" s="274" t="s">
        <v>10</v>
      </c>
      <c r="I6" s="275" t="s">
        <v>6</v>
      </c>
      <c r="J6" s="274" t="s">
        <v>10</v>
      </c>
      <c r="K6" s="275" t="s">
        <v>6</v>
      </c>
      <c r="L6" s="274" t="s">
        <v>10</v>
      </c>
      <c r="M6" s="275" t="s">
        <v>6</v>
      </c>
      <c r="N6" s="291" t="s">
        <v>10</v>
      </c>
      <c r="O6" s="292" t="s">
        <v>199</v>
      </c>
      <c r="P6" s="293" t="s">
        <v>10</v>
      </c>
      <c r="Q6" s="292" t="s">
        <v>199</v>
      </c>
      <c r="T6" s="276" t="s">
        <v>10</v>
      </c>
      <c r="U6" s="277" t="s">
        <v>10</v>
      </c>
      <c r="V6" s="276" t="s">
        <v>10</v>
      </c>
      <c r="W6" s="278" t="s">
        <v>10</v>
      </c>
      <c r="X6" s="276" t="s">
        <v>10</v>
      </c>
    </row>
    <row r="7" spans="1:244" ht="18" customHeight="1">
      <c r="B7" s="279">
        <f>Data!A26</f>
        <v>100</v>
      </c>
      <c r="C7" s="280"/>
      <c r="D7" s="280"/>
      <c r="E7" s="280"/>
      <c r="F7" s="280"/>
      <c r="G7" s="289">
        <f>((C7+D7+E7+F7)/10^3/2)</f>
        <v>0</v>
      </c>
      <c r="H7" s="290">
        <f>(((-(B7/1000)*($Z$4-1.2))*((1/7950)-(1/8000)))*1000)</f>
        <v>9.4339622641508372E-5</v>
      </c>
      <c r="I7" s="289">
        <f t="shared" ref="I7:I15" si="0">H7/SQRT(3)</f>
        <v>5.4467006527322572E-5</v>
      </c>
      <c r="J7" s="290">
        <f>Data!O9/2</f>
        <v>5.0000000000000001E-4</v>
      </c>
      <c r="K7" s="289">
        <f t="shared" ref="K7:K15" si="1">J7/SQRT(3)</f>
        <v>2.886751345948129E-4</v>
      </c>
      <c r="L7" s="290">
        <f>Data!X26</f>
        <v>0</v>
      </c>
      <c r="M7" s="289">
        <f t="shared" ref="M7:M15" si="2">L7/1</f>
        <v>0</v>
      </c>
      <c r="N7" s="294">
        <f t="shared" ref="N7:N16" si="3">dem</f>
        <v>0</v>
      </c>
      <c r="O7" s="295">
        <f>N7/(2*SQRT(3))</f>
        <v>0</v>
      </c>
      <c r="P7" s="296">
        <f>(4*(1*10^-6)*B7)</f>
        <v>3.9999999999999996E-4</v>
      </c>
      <c r="Q7" s="297">
        <f>P7/(2*SQRT(3))</f>
        <v>1.1547005383792514E-4</v>
      </c>
      <c r="T7" s="286">
        <f t="shared" ref="T7:T16" si="4">SQRT(G7^2+I7^2+K7^2+M7^2)</f>
        <v>2.9376859623414606E-4</v>
      </c>
      <c r="U7" s="281">
        <f t="shared" ref="U7:U16" si="5">M7/1</f>
        <v>0</v>
      </c>
      <c r="V7" s="282">
        <f t="shared" ref="V7:V16" si="6">(T7^4)/(((IF(M7&lt;=0,0.001,M7)^4)/9))</f>
        <v>6.7029191566394905E-2</v>
      </c>
      <c r="W7" s="283" t="str">
        <f t="shared" ref="W7:W15" si="7">IF(V7&gt;0,"2.00",TINV(0.0455,V7))</f>
        <v>2.00</v>
      </c>
      <c r="X7" s="284">
        <f>(T7*W7)</f>
        <v>5.8753719246829213E-4</v>
      </c>
    </row>
    <row r="8" spans="1:244" ht="18" customHeight="1">
      <c r="B8" s="279">
        <f>Data!A27</f>
        <v>200</v>
      </c>
      <c r="C8" s="285"/>
      <c r="D8" s="285"/>
      <c r="E8" s="285"/>
      <c r="F8" s="285"/>
      <c r="G8" s="289">
        <f t="shared" ref="G8:G16" si="8">((C8+D8+E8+F8)/10^3/2)</f>
        <v>0</v>
      </c>
      <c r="H8" s="290">
        <f t="shared" ref="H8:H16" si="9">(((-(B8/1000)*($Z$4-1.2))*((1/7950)-(1/8000)))*1000)</f>
        <v>1.8867924528301674E-4</v>
      </c>
      <c r="I8" s="289">
        <f t="shared" si="0"/>
        <v>1.0893401305464514E-4</v>
      </c>
      <c r="J8" s="290">
        <f>J7</f>
        <v>5.0000000000000001E-4</v>
      </c>
      <c r="K8" s="289">
        <f t="shared" si="1"/>
        <v>2.886751345948129E-4</v>
      </c>
      <c r="L8" s="290">
        <f>Data!X27</f>
        <v>0</v>
      </c>
      <c r="M8" s="289">
        <f t="shared" si="2"/>
        <v>0</v>
      </c>
      <c r="N8" s="294">
        <f t="shared" si="3"/>
        <v>0</v>
      </c>
      <c r="O8" s="295">
        <f t="shared" ref="O8:O16" si="10">N8/(2*SQRT(3))</f>
        <v>0</v>
      </c>
      <c r="P8" s="296">
        <f t="shared" ref="P8:P16" si="11">(4*(1*10^-6)*B8)</f>
        <v>7.9999999999999993E-4</v>
      </c>
      <c r="Q8" s="297">
        <f t="shared" ref="Q8:Q16" si="12">P8/(2*SQRT(3))</f>
        <v>2.3094010767585029E-4</v>
      </c>
      <c r="T8" s="286">
        <f t="shared" si="4"/>
        <v>3.0854489549095272E-4</v>
      </c>
      <c r="U8" s="281">
        <f t="shared" si="5"/>
        <v>0</v>
      </c>
      <c r="V8" s="282">
        <f t="shared" si="6"/>
        <v>8.1567278661465181E-2</v>
      </c>
      <c r="W8" s="286" t="str">
        <f t="shared" si="7"/>
        <v>2.00</v>
      </c>
      <c r="X8" s="284">
        <f t="shared" ref="X8:X16" si="13">(T8*W8)</f>
        <v>6.1708979098190544E-4</v>
      </c>
    </row>
    <row r="9" spans="1:244" ht="18" customHeight="1">
      <c r="B9" s="279">
        <f>Data!A28</f>
        <v>300</v>
      </c>
      <c r="C9" s="285"/>
      <c r="D9" s="285"/>
      <c r="E9" s="285"/>
      <c r="F9" s="285"/>
      <c r="G9" s="289">
        <f t="shared" si="8"/>
        <v>0</v>
      </c>
      <c r="H9" s="290">
        <f t="shared" si="9"/>
        <v>2.8301886792452512E-4</v>
      </c>
      <c r="I9" s="289">
        <f t="shared" si="0"/>
        <v>1.6340101958196772E-4</v>
      </c>
      <c r="J9" s="290">
        <f t="shared" ref="J9:J16" si="14">J8</f>
        <v>5.0000000000000001E-4</v>
      </c>
      <c r="K9" s="289">
        <f t="shared" si="1"/>
        <v>2.886751345948129E-4</v>
      </c>
      <c r="L9" s="290">
        <f>Data!X28</f>
        <v>0</v>
      </c>
      <c r="M9" s="289">
        <f t="shared" si="2"/>
        <v>0</v>
      </c>
      <c r="N9" s="294">
        <f t="shared" si="3"/>
        <v>0</v>
      </c>
      <c r="O9" s="295">
        <f t="shared" si="10"/>
        <v>0</v>
      </c>
      <c r="P9" s="296">
        <f t="shared" si="11"/>
        <v>1.1999999999999999E-3</v>
      </c>
      <c r="Q9" s="297">
        <f t="shared" si="12"/>
        <v>3.4641016151377546E-4</v>
      </c>
      <c r="T9" s="286">
        <f t="shared" si="4"/>
        <v>3.3171256613785368E-4</v>
      </c>
      <c r="U9" s="281">
        <f t="shared" si="5"/>
        <v>0</v>
      </c>
      <c r="V9" s="282">
        <f t="shared" si="6"/>
        <v>0.10896579847286761</v>
      </c>
      <c r="W9" s="286" t="str">
        <f t="shared" si="7"/>
        <v>2.00</v>
      </c>
      <c r="X9" s="284">
        <f t="shared" si="13"/>
        <v>6.6342513227570735E-4</v>
      </c>
    </row>
    <row r="10" spans="1:244" ht="18" customHeight="1">
      <c r="B10" s="279">
        <f>Data!A29</f>
        <v>400</v>
      </c>
      <c r="C10" s="285"/>
      <c r="D10" s="285"/>
      <c r="E10" s="285"/>
      <c r="F10" s="285"/>
      <c r="G10" s="289">
        <f t="shared" si="8"/>
        <v>0</v>
      </c>
      <c r="H10" s="290">
        <f t="shared" si="9"/>
        <v>3.7735849056603349E-4</v>
      </c>
      <c r="I10" s="289">
        <f t="shared" si="0"/>
        <v>2.1786802610929029E-4</v>
      </c>
      <c r="J10" s="290">
        <f t="shared" si="14"/>
        <v>5.0000000000000001E-4</v>
      </c>
      <c r="K10" s="289">
        <f t="shared" si="1"/>
        <v>2.886751345948129E-4</v>
      </c>
      <c r="L10" s="290">
        <f>Data!X29</f>
        <v>0</v>
      </c>
      <c r="M10" s="289">
        <f t="shared" si="2"/>
        <v>0</v>
      </c>
      <c r="N10" s="294">
        <f t="shared" si="3"/>
        <v>0</v>
      </c>
      <c r="O10" s="295">
        <f t="shared" si="10"/>
        <v>0</v>
      </c>
      <c r="P10" s="296">
        <f t="shared" si="11"/>
        <v>1.5999999999999999E-3</v>
      </c>
      <c r="Q10" s="297">
        <f t="shared" si="12"/>
        <v>4.6188021535170057E-4</v>
      </c>
      <c r="T10" s="286">
        <f t="shared" si="4"/>
        <v>3.6166256391018928E-4</v>
      </c>
      <c r="U10" s="281">
        <f t="shared" si="5"/>
        <v>0</v>
      </c>
      <c r="V10" s="282">
        <f t="shared" si="6"/>
        <v>0.15397731298003006</v>
      </c>
      <c r="W10" s="286" t="str">
        <f t="shared" si="7"/>
        <v>2.00</v>
      </c>
      <c r="X10" s="284">
        <f t="shared" si="13"/>
        <v>7.2332512782037855E-4</v>
      </c>
    </row>
    <row r="11" spans="1:244" ht="18" customHeight="1">
      <c r="B11" s="279">
        <f>Data!A30</f>
        <v>500</v>
      </c>
      <c r="C11" s="285"/>
      <c r="D11" s="285"/>
      <c r="E11" s="285"/>
      <c r="F11" s="285"/>
      <c r="G11" s="289">
        <f t="shared" si="8"/>
        <v>0</v>
      </c>
      <c r="H11" s="290">
        <f t="shared" si="9"/>
        <v>4.7169811320754181E-4</v>
      </c>
      <c r="I11" s="289">
        <f t="shared" si="0"/>
        <v>2.7233503263661283E-4</v>
      </c>
      <c r="J11" s="290">
        <f t="shared" si="14"/>
        <v>5.0000000000000001E-4</v>
      </c>
      <c r="K11" s="289">
        <f t="shared" si="1"/>
        <v>2.886751345948129E-4</v>
      </c>
      <c r="L11" s="290">
        <f>Data!X30</f>
        <v>0</v>
      </c>
      <c r="M11" s="289">
        <f t="shared" si="2"/>
        <v>0</v>
      </c>
      <c r="N11" s="294">
        <f t="shared" si="3"/>
        <v>0</v>
      </c>
      <c r="O11" s="295">
        <f t="shared" si="10"/>
        <v>0</v>
      </c>
      <c r="P11" s="296">
        <f t="shared" si="11"/>
        <v>2E-3</v>
      </c>
      <c r="Q11" s="297">
        <f t="shared" si="12"/>
        <v>5.773502691896258E-4</v>
      </c>
      <c r="T11" s="286">
        <f t="shared" si="4"/>
        <v>3.9686232289613778E-4</v>
      </c>
      <c r="U11" s="281">
        <f t="shared" si="5"/>
        <v>0</v>
      </c>
      <c r="V11" s="282">
        <f t="shared" si="6"/>
        <v>0.22325540895415155</v>
      </c>
      <c r="W11" s="286" t="str">
        <f t="shared" si="7"/>
        <v>2.00</v>
      </c>
      <c r="X11" s="284">
        <f t="shared" si="13"/>
        <v>7.9372464579227555E-4</v>
      </c>
    </row>
    <row r="12" spans="1:244" ht="18" customHeight="1">
      <c r="B12" s="279">
        <f>Data!A31</f>
        <v>600</v>
      </c>
      <c r="C12" s="285"/>
      <c r="D12" s="285"/>
      <c r="E12" s="285"/>
      <c r="F12" s="285"/>
      <c r="G12" s="289">
        <f t="shared" si="8"/>
        <v>0</v>
      </c>
      <c r="H12" s="290">
        <f t="shared" si="9"/>
        <v>5.6603773584905023E-4</v>
      </c>
      <c r="I12" s="289">
        <f t="shared" si="0"/>
        <v>3.2680203916393545E-4</v>
      </c>
      <c r="J12" s="290">
        <f t="shared" si="14"/>
        <v>5.0000000000000001E-4</v>
      </c>
      <c r="K12" s="289">
        <f t="shared" si="1"/>
        <v>2.886751345948129E-4</v>
      </c>
      <c r="L12" s="290">
        <f>Data!X31</f>
        <v>0</v>
      </c>
      <c r="M12" s="289">
        <f t="shared" si="2"/>
        <v>0</v>
      </c>
      <c r="N12" s="294">
        <f t="shared" si="3"/>
        <v>0</v>
      </c>
      <c r="O12" s="295">
        <f t="shared" si="10"/>
        <v>0</v>
      </c>
      <c r="P12" s="296">
        <f t="shared" si="11"/>
        <v>2.3999999999999998E-3</v>
      </c>
      <c r="Q12" s="297">
        <f t="shared" si="12"/>
        <v>6.9282032302755091E-4</v>
      </c>
      <c r="T12" s="286">
        <f t="shared" si="4"/>
        <v>4.3604232149533343E-4</v>
      </c>
      <c r="U12" s="281">
        <f t="shared" si="5"/>
        <v>0</v>
      </c>
      <c r="V12" s="282">
        <f t="shared" si="6"/>
        <v>0.32535469795820238</v>
      </c>
      <c r="W12" s="286" t="str">
        <f t="shared" si="7"/>
        <v>2.00</v>
      </c>
      <c r="X12" s="284">
        <f t="shared" si="13"/>
        <v>8.7208464299066686E-4</v>
      </c>
    </row>
    <row r="13" spans="1:244" ht="18" customHeight="1">
      <c r="B13" s="279">
        <f>Data!A32</f>
        <v>700</v>
      </c>
      <c r="C13" s="285"/>
      <c r="D13" s="285"/>
      <c r="E13" s="285"/>
      <c r="F13" s="285"/>
      <c r="G13" s="289">
        <f t="shared" si="8"/>
        <v>0</v>
      </c>
      <c r="H13" s="290">
        <f t="shared" si="9"/>
        <v>6.6037735849055861E-4</v>
      </c>
      <c r="I13" s="289">
        <f t="shared" si="0"/>
        <v>3.8126904569125801E-4</v>
      </c>
      <c r="J13" s="290">
        <f t="shared" si="14"/>
        <v>5.0000000000000001E-4</v>
      </c>
      <c r="K13" s="289">
        <f t="shared" si="1"/>
        <v>2.886751345948129E-4</v>
      </c>
      <c r="L13" s="290">
        <f>Data!X32</f>
        <v>0</v>
      </c>
      <c r="M13" s="289">
        <f t="shared" si="2"/>
        <v>0</v>
      </c>
      <c r="N13" s="294">
        <f t="shared" si="3"/>
        <v>0</v>
      </c>
      <c r="O13" s="295">
        <f t="shared" si="10"/>
        <v>0</v>
      </c>
      <c r="P13" s="296">
        <f t="shared" si="11"/>
        <v>2.8E-3</v>
      </c>
      <c r="Q13" s="297">
        <f t="shared" si="12"/>
        <v>8.0829037686547614E-4</v>
      </c>
      <c r="T13" s="286">
        <f t="shared" si="4"/>
        <v>4.7822528010933919E-4</v>
      </c>
      <c r="U13" s="281">
        <f t="shared" si="5"/>
        <v>0</v>
      </c>
      <c r="V13" s="282">
        <f t="shared" si="6"/>
        <v>0.47073081634692404</v>
      </c>
      <c r="W13" s="286" t="str">
        <f t="shared" si="7"/>
        <v>2.00</v>
      </c>
      <c r="X13" s="284">
        <f t="shared" si="13"/>
        <v>9.5645056021867838E-4</v>
      </c>
    </row>
    <row r="14" spans="1:244" ht="18" customHeight="1">
      <c r="B14" s="279">
        <f>Data!A33</f>
        <v>800</v>
      </c>
      <c r="C14" s="285"/>
      <c r="D14" s="285"/>
      <c r="E14" s="285"/>
      <c r="F14" s="285"/>
      <c r="G14" s="289">
        <f t="shared" si="8"/>
        <v>0</v>
      </c>
      <c r="H14" s="290">
        <f t="shared" si="9"/>
        <v>7.5471698113206698E-4</v>
      </c>
      <c r="I14" s="289">
        <f t="shared" si="0"/>
        <v>4.3573605221858058E-4</v>
      </c>
      <c r="J14" s="290">
        <f t="shared" si="14"/>
        <v>5.0000000000000001E-4</v>
      </c>
      <c r="K14" s="289">
        <f t="shared" si="1"/>
        <v>2.886751345948129E-4</v>
      </c>
      <c r="L14" s="290">
        <f>Data!X33</f>
        <v>0</v>
      </c>
      <c r="M14" s="289">
        <f t="shared" si="2"/>
        <v>0</v>
      </c>
      <c r="N14" s="294">
        <f t="shared" si="3"/>
        <v>0</v>
      </c>
      <c r="O14" s="295">
        <f t="shared" si="10"/>
        <v>0</v>
      </c>
      <c r="P14" s="296">
        <f t="shared" si="11"/>
        <v>3.1999999999999997E-3</v>
      </c>
      <c r="Q14" s="297">
        <f t="shared" si="12"/>
        <v>9.2376043070340115E-4</v>
      </c>
      <c r="T14" s="286">
        <f t="shared" si="4"/>
        <v>5.2268464731266683E-4</v>
      </c>
      <c r="U14" s="281">
        <f t="shared" si="5"/>
        <v>0</v>
      </c>
      <c r="V14" s="282">
        <f t="shared" si="6"/>
        <v>0.67174042526682898</v>
      </c>
      <c r="W14" s="286" t="str">
        <f t="shared" si="7"/>
        <v>2.00</v>
      </c>
      <c r="X14" s="284">
        <f t="shared" si="13"/>
        <v>1.0453692946253337E-3</v>
      </c>
    </row>
    <row r="15" spans="1:244" ht="18" customHeight="1">
      <c r="B15" s="279">
        <f>Data!A34</f>
        <v>900</v>
      </c>
      <c r="C15" s="285"/>
      <c r="D15" s="285"/>
      <c r="E15" s="285"/>
      <c r="F15" s="285"/>
      <c r="G15" s="289">
        <f t="shared" si="8"/>
        <v>0</v>
      </c>
      <c r="H15" s="290">
        <f t="shared" si="9"/>
        <v>8.4905660377357535E-4</v>
      </c>
      <c r="I15" s="289">
        <f t="shared" si="0"/>
        <v>4.9020305874590314E-4</v>
      </c>
      <c r="J15" s="290">
        <f t="shared" si="14"/>
        <v>5.0000000000000001E-4</v>
      </c>
      <c r="K15" s="289">
        <f t="shared" si="1"/>
        <v>2.886751345948129E-4</v>
      </c>
      <c r="L15" s="290">
        <f>Data!X34</f>
        <v>0</v>
      </c>
      <c r="M15" s="289">
        <f t="shared" si="2"/>
        <v>0</v>
      </c>
      <c r="N15" s="294">
        <f t="shared" si="3"/>
        <v>0</v>
      </c>
      <c r="O15" s="295">
        <f t="shared" si="10"/>
        <v>0</v>
      </c>
      <c r="P15" s="296">
        <f t="shared" si="11"/>
        <v>3.5999999999999999E-3</v>
      </c>
      <c r="Q15" s="297">
        <f t="shared" si="12"/>
        <v>1.0392304845413265E-3</v>
      </c>
      <c r="T15" s="286">
        <f t="shared" si="4"/>
        <v>5.6888695901485798E-4</v>
      </c>
      <c r="U15" s="281">
        <f t="shared" si="5"/>
        <v>0</v>
      </c>
      <c r="V15" s="282">
        <f t="shared" si="6"/>
        <v>0.9426412106562011</v>
      </c>
      <c r="W15" s="286" t="str">
        <f t="shared" si="7"/>
        <v>2.00</v>
      </c>
      <c r="X15" s="284">
        <f t="shared" si="13"/>
        <v>1.137773918029716E-3</v>
      </c>
    </row>
    <row r="16" spans="1:244" ht="18" customHeight="1">
      <c r="B16" s="279">
        <f>Data!A35</f>
        <v>1000</v>
      </c>
      <c r="C16" s="285"/>
      <c r="D16" s="285"/>
      <c r="E16" s="285"/>
      <c r="F16" s="285"/>
      <c r="G16" s="289">
        <f t="shared" si="8"/>
        <v>0</v>
      </c>
      <c r="H16" s="290">
        <f t="shared" si="9"/>
        <v>9.4339622641508361E-4</v>
      </c>
      <c r="I16" s="289">
        <f>H16/SQRT(3)</f>
        <v>5.4467006527322565E-4</v>
      </c>
      <c r="J16" s="290">
        <f t="shared" si="14"/>
        <v>5.0000000000000001E-4</v>
      </c>
      <c r="K16" s="289">
        <f>J16/SQRT(3)</f>
        <v>2.886751345948129E-4</v>
      </c>
      <c r="L16" s="290">
        <f>Data!X35</f>
        <v>0</v>
      </c>
      <c r="M16" s="289">
        <f>L16/1</f>
        <v>0</v>
      </c>
      <c r="N16" s="294">
        <f t="shared" si="3"/>
        <v>0</v>
      </c>
      <c r="O16" s="295">
        <f t="shared" si="10"/>
        <v>0</v>
      </c>
      <c r="P16" s="296">
        <f t="shared" si="11"/>
        <v>4.0000000000000001E-3</v>
      </c>
      <c r="Q16" s="297">
        <f t="shared" si="12"/>
        <v>1.1547005383792516E-3</v>
      </c>
      <c r="T16" s="286">
        <f t="shared" si="4"/>
        <v>6.1644043778622535E-4</v>
      </c>
      <c r="U16" s="281">
        <f t="shared" si="5"/>
        <v>0</v>
      </c>
      <c r="V16" s="282">
        <f t="shared" si="6"/>
        <v>1.2995918832450941</v>
      </c>
      <c r="W16" s="286" t="str">
        <f>IF(V16&gt;0,"2.00",TINV(0.0455,V16))</f>
        <v>2.00</v>
      </c>
      <c r="X16" s="284">
        <f t="shared" si="13"/>
        <v>1.2328808755724507E-3</v>
      </c>
    </row>
    <row r="17" spans="2:18" ht="18" customHeight="1">
      <c r="B17" s="8"/>
      <c r="C17" s="9"/>
      <c r="D17" s="8"/>
      <c r="E17" s="9"/>
      <c r="F17" s="9"/>
      <c r="G17" s="9"/>
      <c r="H17" s="6"/>
      <c r="I17" s="7"/>
      <c r="J17" s="6"/>
      <c r="K17" s="7"/>
      <c r="L17" s="6"/>
      <c r="M17"/>
      <c r="N17"/>
      <c r="O17"/>
      <c r="P17"/>
      <c r="Q17"/>
      <c r="R17" s="10"/>
    </row>
    <row r="18" spans="2:18" ht="18" customHeight="1">
      <c r="B18" s="305" t="s">
        <v>200</v>
      </c>
      <c r="C18" s="579">
        <f>Data!R3</f>
        <v>23</v>
      </c>
      <c r="D18" s="298"/>
      <c r="E18" s="298"/>
      <c r="F18" s="299"/>
      <c r="G18" s="9"/>
      <c r="H18" s="6"/>
      <c r="I18" s="7"/>
      <c r="J18" s="6"/>
      <c r="K18" s="7"/>
      <c r="L18" s="6"/>
      <c r="M18" s="7"/>
      <c r="N18" s="10"/>
      <c r="O18" s="10"/>
      <c r="P18" s="10"/>
      <c r="Q18" s="10"/>
      <c r="R18" s="10"/>
    </row>
    <row r="19" spans="2:18" ht="18" customHeight="1">
      <c r="B19" s="302" t="s">
        <v>201</v>
      </c>
      <c r="C19" s="580">
        <f>Data!U3</f>
        <v>50</v>
      </c>
      <c r="D19"/>
      <c r="E19" s="300"/>
      <c r="F19" s="301"/>
      <c r="G19" s="9"/>
      <c r="H19" s="6"/>
      <c r="I19" s="7"/>
      <c r="J19" s="6"/>
      <c r="K19" s="7"/>
      <c r="L19" s="6"/>
      <c r="M19" s="7"/>
      <c r="N19" s="10"/>
      <c r="O19" s="10"/>
      <c r="P19" s="10"/>
      <c r="Q19" s="10"/>
      <c r="R19" s="10"/>
    </row>
    <row r="20" spans="2:18" ht="18" customHeight="1">
      <c r="B20" s="302" t="s">
        <v>147</v>
      </c>
      <c r="C20" s="581" t="str">
        <f>CONCATENATE(Data!D9,"-",Data!G9," g.")</f>
        <v>0-1000 g.</v>
      </c>
      <c r="H20" s="6"/>
      <c r="I20" s="7"/>
      <c r="J20" s="6"/>
      <c r="K20" s="7"/>
      <c r="L20" s="6"/>
      <c r="M20" s="7"/>
      <c r="N20" s="10"/>
      <c r="O20" s="10"/>
      <c r="P20" s="10"/>
      <c r="Q20" s="10"/>
      <c r="R20" s="10"/>
    </row>
    <row r="21" spans="2:18" ht="18" customHeight="1">
      <c r="B21" s="306" t="s">
        <v>204</v>
      </c>
      <c r="C21" s="307">
        <f>((0.34848*1006.1)-((0.009*C19)*(EXP(0.061*C18))))/(273.15+C18)</f>
        <v>1.1776984814282181</v>
      </c>
      <c r="D21" s="8"/>
      <c r="E21" s="9"/>
      <c r="F21" s="9"/>
      <c r="G21" s="9"/>
      <c r="H21" s="6"/>
      <c r="I21" s="7"/>
      <c r="J21" s="6"/>
      <c r="K21" s="7"/>
      <c r="L21" s="6"/>
      <c r="M21" s="7"/>
      <c r="N21" s="10"/>
      <c r="O21" s="10"/>
      <c r="P21" s="10"/>
      <c r="Q21" s="10"/>
      <c r="R21" s="10"/>
    </row>
    <row r="22" spans="2:18" ht="18" customHeight="1">
      <c r="B22" s="304" t="s">
        <v>202</v>
      </c>
      <c r="C22" s="578">
        <f>resuuc</f>
        <v>1E-3</v>
      </c>
      <c r="D22" s="303" t="s">
        <v>203</v>
      </c>
      <c r="E22" s="11"/>
      <c r="F22" s="11"/>
      <c r="G22" s="12"/>
      <c r="H22" s="6"/>
      <c r="I22" s="7"/>
      <c r="J22" s="6"/>
      <c r="K22" s="7"/>
      <c r="L22" s="6"/>
      <c r="M22" s="7"/>
      <c r="N22" s="10"/>
      <c r="O22" s="10"/>
      <c r="P22" s="10"/>
      <c r="Q22" s="10"/>
      <c r="R22" s="10"/>
    </row>
    <row r="23" spans="2:18" ht="18" customHeight="1">
      <c r="B23" s="11"/>
      <c r="C23" s="11"/>
      <c r="D23" s="11"/>
      <c r="E23" s="11"/>
      <c r="F23" s="11"/>
      <c r="G23" s="12"/>
      <c r="H23" s="6"/>
      <c r="I23" s="7"/>
      <c r="J23" s="6"/>
      <c r="K23" s="7"/>
      <c r="L23" s="6"/>
      <c r="M23" s="7"/>
      <c r="N23" s="10"/>
      <c r="O23" s="10"/>
      <c r="P23" s="10"/>
      <c r="Q23" s="10"/>
      <c r="R23" s="10"/>
    </row>
    <row r="24" spans="2:18" ht="18" customHeight="1">
      <c r="B24" s="11"/>
      <c r="C24" s="11"/>
      <c r="D24" s="11"/>
      <c r="E24" s="11"/>
      <c r="F24" s="11"/>
      <c r="G24" s="12"/>
      <c r="H24" s="6"/>
      <c r="I24" s="7"/>
      <c r="J24" s="6"/>
      <c r="K24" s="7"/>
      <c r="L24" s="6"/>
      <c r="M24" s="7"/>
      <c r="N24" s="10"/>
      <c r="O24" s="10"/>
      <c r="P24" s="10"/>
      <c r="Q24" s="10"/>
      <c r="R24" s="10"/>
    </row>
    <row r="25" spans="2:18" ht="18" customHeight="1">
      <c r="B25" s="11"/>
      <c r="C25" s="11"/>
      <c r="D25" s="11"/>
      <c r="E25" s="11"/>
      <c r="F25" s="11"/>
      <c r="G25" s="12"/>
      <c r="H25" s="6"/>
      <c r="I25" s="7"/>
      <c r="J25" s="10"/>
      <c r="K25" s="10"/>
      <c r="L25" s="10"/>
      <c r="M25" s="10"/>
      <c r="N25" s="10"/>
      <c r="O25" s="10"/>
      <c r="P25" s="10"/>
      <c r="Q25" s="10"/>
      <c r="R25" s="10"/>
    </row>
    <row r="26" spans="2:18" ht="18" customHeight="1">
      <c r="B26" s="11"/>
      <c r="C26" s="11"/>
      <c r="D26" s="11"/>
      <c r="E26" s="11"/>
      <c r="F26" s="11"/>
      <c r="G26" s="12"/>
      <c r="H26" s="6"/>
      <c r="I26" s="7"/>
      <c r="J26" s="10"/>
      <c r="K26" s="10"/>
      <c r="L26" s="10"/>
      <c r="M26" s="10"/>
      <c r="N26" s="10"/>
      <c r="O26" s="10"/>
      <c r="P26" s="10"/>
      <c r="Q26" s="10"/>
      <c r="R26" s="10"/>
    </row>
    <row r="27" spans="2:18" ht="18" customHeight="1">
      <c r="B27" s="11"/>
      <c r="C27" s="11"/>
      <c r="D27" s="11"/>
      <c r="E27" s="11"/>
      <c r="F27" s="11"/>
      <c r="G27" s="12"/>
      <c r="H27" s="6"/>
      <c r="I27" s="7"/>
      <c r="J27" s="10"/>
      <c r="K27" s="10"/>
      <c r="L27" s="10"/>
      <c r="M27" s="10"/>
      <c r="N27" s="10"/>
      <c r="O27" s="10"/>
      <c r="P27" s="10"/>
      <c r="Q27" s="10"/>
      <c r="R27" s="10"/>
    </row>
    <row r="28" spans="2:18" ht="18" customHeight="1">
      <c r="B28" s="11"/>
      <c r="C28" s="11"/>
      <c r="D28" s="11"/>
      <c r="E28" s="11"/>
      <c r="F28" s="11"/>
      <c r="G28" s="12"/>
      <c r="H28" s="6"/>
      <c r="I28" s="7"/>
      <c r="J28" s="10"/>
      <c r="K28" s="10"/>
      <c r="L28" s="10"/>
      <c r="M28" s="10"/>
      <c r="N28" s="10"/>
      <c r="O28" s="10"/>
      <c r="P28" s="10"/>
      <c r="Q28" s="10"/>
      <c r="R28" s="10"/>
    </row>
    <row r="29" spans="2:18" ht="18" customHeight="1">
      <c r="B29" s="11"/>
      <c r="C29" s="11"/>
      <c r="D29" s="11"/>
      <c r="E29" s="11"/>
      <c r="F29" s="11"/>
      <c r="G29" s="12"/>
      <c r="H29" s="6"/>
      <c r="I29" s="7"/>
      <c r="J29" s="10"/>
      <c r="K29" s="10"/>
      <c r="L29" s="10"/>
      <c r="M29" s="10"/>
      <c r="N29" s="10"/>
      <c r="O29" s="10"/>
      <c r="P29" s="10"/>
      <c r="Q29" s="10"/>
      <c r="R29" s="10"/>
    </row>
    <row r="30" spans="2:18" ht="18" customHeight="1">
      <c r="B30" s="11"/>
      <c r="C30" s="11"/>
      <c r="D30" s="11"/>
      <c r="E30" s="11"/>
      <c r="F30" s="11"/>
      <c r="G30" s="12"/>
      <c r="H30" s="6"/>
      <c r="I30" s="7"/>
      <c r="J30" s="10"/>
      <c r="K30" s="10"/>
      <c r="L30" s="10"/>
      <c r="M30" s="10"/>
      <c r="N30" s="10"/>
      <c r="O30" s="10"/>
      <c r="P30" s="10"/>
      <c r="Q30" s="10"/>
      <c r="R30" s="10"/>
    </row>
    <row r="31" spans="2:18" ht="18" customHeight="1">
      <c r="B31" s="11"/>
      <c r="C31" s="11"/>
      <c r="D31" s="11"/>
      <c r="E31" s="11"/>
      <c r="F31" s="11"/>
      <c r="G31" s="12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ht="18" customHeight="1">
      <c r="B32" s="11"/>
      <c r="C32" s="11"/>
      <c r="D32" s="11"/>
      <c r="E32" s="11"/>
      <c r="F32" s="11"/>
      <c r="G32" s="12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ht="18" customHeight="1">
      <c r="B33" s="11"/>
      <c r="C33" s="11"/>
      <c r="D33" s="11"/>
      <c r="E33" s="11"/>
      <c r="F33" s="11"/>
      <c r="G33" s="12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ht="18" customHeight="1">
      <c r="B34" s="11"/>
      <c r="C34" s="11"/>
      <c r="D34" s="11"/>
      <c r="E34" s="11"/>
      <c r="F34" s="11"/>
      <c r="G34" s="12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8" customHeight="1">
      <c r="B35" s="11"/>
      <c r="C35" s="11"/>
      <c r="D35" s="11"/>
      <c r="E35" s="11"/>
      <c r="F35" s="11"/>
      <c r="G35" s="12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8" customHeight="1">
      <c r="B36" s="11"/>
      <c r="C36" s="11"/>
      <c r="D36" s="11"/>
      <c r="E36" s="11"/>
      <c r="F36" s="11"/>
      <c r="G36" s="12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ht="18" customHeight="1">
      <c r="B37" s="11"/>
      <c r="C37" s="11"/>
      <c r="D37" s="11"/>
      <c r="E37" s="11"/>
      <c r="F37" s="11"/>
      <c r="G37" s="12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</row>
    <row r="38" spans="2:18" ht="18" customHeight="1">
      <c r="B38" s="11"/>
      <c r="C38" s="11"/>
      <c r="D38" s="11"/>
      <c r="E38" s="11"/>
      <c r="F38" s="11"/>
      <c r="G38" s="12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2:18" ht="18" customHeight="1">
      <c r="B39" s="11"/>
      <c r="C39" s="11"/>
      <c r="D39" s="11"/>
      <c r="E39" s="11"/>
      <c r="F39" s="11"/>
      <c r="G39" s="12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2:18" ht="18" customHeight="1">
      <c r="B40" s="11"/>
      <c r="C40" s="11"/>
      <c r="D40" s="11"/>
      <c r="E40" s="11"/>
      <c r="F40" s="11"/>
      <c r="G40" s="12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2:18" ht="18" customHeight="1">
      <c r="B41" s="11"/>
      <c r="C41" s="11"/>
      <c r="D41" s="11"/>
      <c r="E41" s="11"/>
      <c r="F41" s="11"/>
      <c r="G41" s="12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2:18" ht="18" customHeight="1">
      <c r="B42" s="11"/>
      <c r="C42" s="11"/>
      <c r="D42" s="11"/>
      <c r="E42" s="11"/>
      <c r="F42" s="11"/>
      <c r="G42" s="12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2:18" ht="18" customHeight="1">
      <c r="B43" s="11"/>
      <c r="C43" s="11"/>
      <c r="D43" s="11"/>
      <c r="E43" s="11"/>
      <c r="F43" s="11"/>
      <c r="G43" s="12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2:18" ht="18" customHeight="1">
      <c r="B44" s="11"/>
      <c r="C44" s="11"/>
      <c r="D44" s="11"/>
      <c r="E44" s="11"/>
      <c r="F44" s="11"/>
      <c r="G44" s="12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2:18" ht="18" customHeight="1">
      <c r="B45" s="11"/>
      <c r="C45" s="11"/>
      <c r="D45" s="11"/>
      <c r="E45" s="11"/>
      <c r="F45" s="11"/>
      <c r="G45" s="12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2:18" ht="18" customHeight="1">
      <c r="B46" s="11"/>
      <c r="C46" s="11"/>
      <c r="D46" s="11"/>
      <c r="E46" s="11"/>
      <c r="F46" s="11"/>
      <c r="G46" s="12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2:18" ht="18" customHeight="1">
      <c r="B47" s="11"/>
      <c r="C47" s="11"/>
      <c r="D47" s="11"/>
      <c r="E47" s="11"/>
      <c r="F47" s="11"/>
      <c r="G47" s="12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2:18" ht="18" customHeight="1">
      <c r="B48" s="11"/>
      <c r="C48" s="11"/>
      <c r="D48" s="11"/>
      <c r="E48" s="11"/>
      <c r="F48" s="11"/>
      <c r="G48" s="12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2:18" ht="18" customHeight="1">
      <c r="B49" s="11"/>
      <c r="C49" s="11"/>
      <c r="D49" s="11"/>
      <c r="E49" s="11"/>
      <c r="F49" s="11"/>
      <c r="G49" s="12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2:18" ht="18" customHeight="1">
      <c r="B50" s="11"/>
      <c r="C50" s="11"/>
      <c r="D50" s="11"/>
      <c r="E50" s="11"/>
      <c r="F50" s="11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2:18" ht="18" customHeight="1">
      <c r="B51" s="11"/>
      <c r="C51" s="11"/>
      <c r="D51" s="11"/>
      <c r="E51" s="11"/>
      <c r="F51" s="11"/>
      <c r="G51" s="12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2:18" ht="18" customHeight="1">
      <c r="B52" s="11"/>
      <c r="C52" s="11"/>
      <c r="D52" s="11"/>
      <c r="E52" s="11"/>
      <c r="F52" s="11"/>
      <c r="G52" s="12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2:18" ht="18" customHeight="1">
      <c r="B53" s="13"/>
      <c r="C53" s="13"/>
      <c r="D53" s="13"/>
      <c r="E53" s="13"/>
      <c r="F53" s="13"/>
      <c r="G53" s="14"/>
    </row>
    <row r="54" spans="2:18" ht="18" customHeight="1">
      <c r="B54" s="13"/>
      <c r="C54" s="13"/>
      <c r="D54" s="13"/>
      <c r="E54" s="13"/>
      <c r="F54" s="13"/>
      <c r="G54" s="14"/>
    </row>
    <row r="55" spans="2:18" ht="18" customHeight="1">
      <c r="B55" s="13"/>
      <c r="C55" s="13"/>
      <c r="D55" s="13"/>
      <c r="E55" s="13"/>
      <c r="F55" s="13"/>
      <c r="G55" s="14"/>
    </row>
    <row r="56" spans="2:18" ht="18" customHeight="1">
      <c r="B56" s="13"/>
      <c r="C56" s="13"/>
      <c r="D56" s="13"/>
      <c r="E56" s="13"/>
      <c r="F56" s="13"/>
      <c r="G56" s="14"/>
    </row>
    <row r="57" spans="2:18" ht="18" customHeight="1">
      <c r="B57" s="13"/>
      <c r="C57" s="13"/>
      <c r="D57" s="13"/>
      <c r="E57" s="13"/>
      <c r="F57" s="13"/>
      <c r="G57" s="14"/>
    </row>
    <row r="58" spans="2:18" ht="18" customHeight="1">
      <c r="B58" s="13"/>
      <c r="C58" s="13"/>
      <c r="D58" s="13"/>
      <c r="E58" s="13"/>
      <c r="F58" s="13"/>
      <c r="G58" s="14"/>
    </row>
    <row r="59" spans="2:18" ht="18" customHeight="1">
      <c r="B59" s="13"/>
      <c r="C59" s="13"/>
      <c r="D59" s="13"/>
      <c r="E59" s="13"/>
      <c r="F59" s="13"/>
      <c r="G59" s="14"/>
    </row>
    <row r="60" spans="2:18" ht="18" customHeight="1">
      <c r="B60" s="13"/>
      <c r="C60" s="13"/>
      <c r="D60" s="13"/>
      <c r="E60" s="13"/>
      <c r="F60" s="13"/>
      <c r="G60" s="14"/>
    </row>
    <row r="61" spans="2:18" ht="18" customHeight="1">
      <c r="B61" s="13"/>
      <c r="C61" s="13"/>
      <c r="D61" s="13"/>
      <c r="E61" s="13"/>
      <c r="F61" s="13"/>
      <c r="G61" s="14"/>
    </row>
    <row r="62" spans="2:18" ht="18" customHeight="1">
      <c r="B62" s="13"/>
      <c r="C62" s="13"/>
      <c r="D62" s="13"/>
      <c r="E62" s="13"/>
      <c r="F62" s="13"/>
      <c r="G62" s="14"/>
    </row>
    <row r="63" spans="2:18" ht="18" customHeight="1">
      <c r="B63" s="13"/>
      <c r="C63" s="13"/>
      <c r="D63" s="13"/>
      <c r="E63" s="13"/>
      <c r="F63" s="13"/>
      <c r="G63" s="14"/>
    </row>
    <row r="64" spans="2:18" ht="18" customHeight="1">
      <c r="B64" s="13"/>
      <c r="C64" s="13"/>
      <c r="D64" s="13"/>
      <c r="E64" s="13"/>
      <c r="F64" s="13"/>
      <c r="G64" s="14"/>
    </row>
    <row r="65" spans="2:7" ht="18" customHeight="1">
      <c r="B65" s="13"/>
      <c r="C65" s="13"/>
      <c r="D65" s="13"/>
      <c r="E65" s="13"/>
      <c r="F65" s="13"/>
      <c r="G65" s="14"/>
    </row>
    <row r="66" spans="2:7" ht="18" customHeight="1">
      <c r="B66" s="13"/>
      <c r="C66" s="13"/>
      <c r="D66" s="13"/>
      <c r="E66" s="13"/>
      <c r="F66" s="13"/>
      <c r="G66" s="14"/>
    </row>
    <row r="67" spans="2:7" ht="18" customHeight="1">
      <c r="B67" s="13"/>
      <c r="C67" s="13"/>
      <c r="D67" s="13"/>
      <c r="E67" s="13"/>
      <c r="F67" s="13"/>
      <c r="G67" s="14"/>
    </row>
    <row r="68" spans="2:7" ht="18" customHeight="1">
      <c r="B68" s="13"/>
      <c r="C68" s="13"/>
      <c r="D68" s="13"/>
      <c r="E68" s="13"/>
      <c r="F68" s="13"/>
      <c r="G68" s="14"/>
    </row>
    <row r="69" spans="2:7" ht="18" customHeight="1">
      <c r="B69" s="13"/>
      <c r="C69" s="13"/>
      <c r="D69" s="13"/>
      <c r="E69" s="13"/>
      <c r="F69" s="13"/>
      <c r="G69" s="14"/>
    </row>
    <row r="70" spans="2:7" ht="18" customHeight="1">
      <c r="B70" s="13"/>
      <c r="C70" s="13"/>
      <c r="D70" s="13"/>
      <c r="E70" s="13"/>
      <c r="F70" s="13"/>
      <c r="G70" s="14"/>
    </row>
    <row r="71" spans="2:7" ht="18" customHeight="1">
      <c r="B71" s="13"/>
      <c r="C71" s="13"/>
      <c r="D71" s="13"/>
      <c r="E71" s="13"/>
      <c r="F71" s="13"/>
      <c r="G71" s="14"/>
    </row>
    <row r="72" spans="2:7" ht="18" customHeight="1">
      <c r="B72" s="13"/>
      <c r="C72" s="13"/>
      <c r="D72" s="13"/>
      <c r="E72" s="13"/>
      <c r="F72" s="13"/>
      <c r="G72" s="14"/>
    </row>
    <row r="73" spans="2:7" ht="18" customHeight="1">
      <c r="B73" s="13"/>
      <c r="C73" s="13"/>
      <c r="D73" s="13"/>
      <c r="E73" s="13"/>
      <c r="F73" s="13"/>
      <c r="G73" s="14"/>
    </row>
    <row r="74" spans="2:7" ht="18" customHeight="1">
      <c r="B74" s="13"/>
      <c r="C74" s="13"/>
      <c r="D74" s="13"/>
      <c r="E74" s="13"/>
      <c r="F74" s="13"/>
      <c r="G74" s="14"/>
    </row>
    <row r="75" spans="2:7" ht="18" customHeight="1">
      <c r="B75" s="13"/>
      <c r="C75" s="13"/>
      <c r="D75" s="13"/>
      <c r="E75" s="13"/>
      <c r="F75" s="13"/>
      <c r="G75" s="14"/>
    </row>
    <row r="76" spans="2:7" ht="18" customHeight="1">
      <c r="B76" s="13"/>
      <c r="C76" s="13"/>
      <c r="D76" s="13"/>
      <c r="E76" s="13"/>
      <c r="F76" s="13"/>
      <c r="G76" s="14"/>
    </row>
    <row r="77" spans="2:7" ht="18" customHeight="1">
      <c r="B77" s="13"/>
      <c r="C77" s="13"/>
      <c r="D77" s="13"/>
      <c r="E77" s="13"/>
      <c r="F77" s="13"/>
      <c r="G77" s="14"/>
    </row>
    <row r="78" spans="2:7" ht="18" customHeight="1">
      <c r="B78" s="13"/>
      <c r="C78" s="13"/>
      <c r="D78" s="13"/>
      <c r="E78" s="13"/>
      <c r="F78" s="13"/>
      <c r="G78" s="14"/>
    </row>
    <row r="79" spans="2:7" ht="18" customHeight="1">
      <c r="B79" s="13"/>
      <c r="C79" s="13"/>
      <c r="D79" s="13"/>
      <c r="E79" s="13"/>
      <c r="F79" s="13"/>
      <c r="G79" s="14"/>
    </row>
    <row r="80" spans="2:7" ht="18" customHeight="1">
      <c r="B80" s="13"/>
      <c r="C80" s="13"/>
      <c r="D80" s="13"/>
      <c r="E80" s="13"/>
      <c r="F80" s="13"/>
      <c r="G80" s="14"/>
    </row>
    <row r="81" spans="2:7" ht="18" customHeight="1">
      <c r="B81" s="13"/>
      <c r="C81" s="13"/>
      <c r="D81" s="13"/>
      <c r="E81" s="13"/>
      <c r="F81" s="13"/>
      <c r="G81" s="14"/>
    </row>
    <row r="82" spans="2:7" ht="18" customHeight="1">
      <c r="B82" s="13"/>
      <c r="C82" s="13"/>
      <c r="D82" s="13"/>
      <c r="E82" s="13"/>
      <c r="F82" s="13"/>
      <c r="G82" s="14"/>
    </row>
    <row r="83" spans="2:7" ht="18" customHeight="1">
      <c r="B83" s="13"/>
      <c r="C83" s="13"/>
      <c r="D83" s="13"/>
      <c r="E83" s="13"/>
      <c r="F83" s="13"/>
      <c r="G83" s="14"/>
    </row>
    <row r="84" spans="2:7" ht="18" customHeight="1">
      <c r="B84" s="13"/>
      <c r="C84" s="13"/>
      <c r="D84" s="13"/>
      <c r="E84" s="13"/>
      <c r="F84" s="13"/>
      <c r="G84" s="14"/>
    </row>
    <row r="85" spans="2:7" ht="18" customHeight="1">
      <c r="B85" s="13"/>
      <c r="C85" s="13"/>
      <c r="D85" s="13"/>
      <c r="E85" s="13"/>
      <c r="F85" s="13"/>
      <c r="G85" s="14"/>
    </row>
    <row r="86" spans="2:7" ht="18" customHeight="1">
      <c r="B86" s="13"/>
      <c r="C86" s="13"/>
      <c r="D86" s="13"/>
      <c r="E86" s="13"/>
      <c r="F86" s="13"/>
      <c r="G86" s="14"/>
    </row>
    <row r="91" spans="2:7" ht="18" customHeight="1">
      <c r="B91" s="13"/>
      <c r="C91" s="13"/>
      <c r="D91" s="13"/>
      <c r="E91" s="13"/>
      <c r="F91" s="13"/>
      <c r="G91" s="15" t="s">
        <v>27</v>
      </c>
    </row>
    <row r="92" spans="2:7" ht="18" customHeight="1">
      <c r="B92" s="16" t="s">
        <v>0</v>
      </c>
      <c r="C92" s="13"/>
      <c r="D92" s="13"/>
      <c r="E92" s="13"/>
      <c r="F92" s="13"/>
      <c r="G92" s="16" t="s">
        <v>28</v>
      </c>
    </row>
    <row r="93" spans="2:7" ht="18" customHeight="1">
      <c r="B93" s="16" t="s">
        <v>29</v>
      </c>
      <c r="C93" s="13"/>
      <c r="D93" s="13"/>
      <c r="E93" s="13"/>
      <c r="F93" s="13"/>
      <c r="G93" s="16" t="s">
        <v>30</v>
      </c>
    </row>
    <row r="94" spans="2:7" ht="18" customHeight="1">
      <c r="B94" s="13" t="s">
        <v>31</v>
      </c>
      <c r="C94" s="13"/>
      <c r="D94" s="13"/>
      <c r="E94" s="13"/>
      <c r="F94" s="13"/>
      <c r="G94" s="13" t="s">
        <v>32</v>
      </c>
    </row>
    <row r="95" spans="2:7" ht="18" customHeight="1">
      <c r="B95" s="13">
        <v>1</v>
      </c>
      <c r="C95" s="13"/>
      <c r="D95" s="13"/>
      <c r="E95" s="13"/>
      <c r="F95" s="13"/>
      <c r="G95" s="14">
        <v>0.03</v>
      </c>
    </row>
    <row r="96" spans="2:7" ht="18" customHeight="1">
      <c r="B96" s="13">
        <v>1.0049999999999999</v>
      </c>
      <c r="C96" s="13"/>
      <c r="D96" s="13"/>
      <c r="E96" s="13"/>
      <c r="F96" s="13"/>
      <c r="G96" s="14">
        <v>0.05</v>
      </c>
    </row>
    <row r="97" spans="2:7" ht="18" customHeight="1">
      <c r="B97" s="13">
        <v>1.01</v>
      </c>
      <c r="C97" s="13"/>
      <c r="D97" s="13"/>
      <c r="E97" s="13"/>
      <c r="F97" s="13"/>
      <c r="G97" s="14">
        <v>0.04</v>
      </c>
    </row>
    <row r="98" spans="2:7" ht="18" customHeight="1">
      <c r="B98" s="13">
        <v>1.02</v>
      </c>
      <c r="C98" s="13"/>
      <c r="D98" s="13"/>
      <c r="E98" s="13"/>
      <c r="F98" s="13"/>
      <c r="G98" s="14">
        <v>7.0000000000000007E-2</v>
      </c>
    </row>
    <row r="99" spans="2:7" ht="18" customHeight="1">
      <c r="B99" s="13">
        <v>1.03</v>
      </c>
      <c r="C99" s="13"/>
      <c r="D99" s="13"/>
      <c r="E99" s="13"/>
      <c r="F99" s="13"/>
      <c r="G99" s="14">
        <v>0.04</v>
      </c>
    </row>
    <row r="100" spans="2:7" ht="18" customHeight="1">
      <c r="B100" s="13">
        <v>1.04</v>
      </c>
      <c r="C100" s="13"/>
      <c r="D100" s="13"/>
      <c r="E100" s="13"/>
      <c r="F100" s="13"/>
      <c r="G100" s="14">
        <v>0.04</v>
      </c>
    </row>
    <row r="101" spans="2:7" ht="18" customHeight="1">
      <c r="B101" s="13">
        <v>1.05</v>
      </c>
      <c r="C101" s="13"/>
      <c r="D101" s="13"/>
      <c r="E101" s="13"/>
      <c r="F101" s="13"/>
      <c r="G101" s="14">
        <v>0.06</v>
      </c>
    </row>
    <row r="102" spans="2:7" ht="18" customHeight="1">
      <c r="B102" s="13">
        <v>1.06</v>
      </c>
      <c r="C102" s="13"/>
      <c r="D102" s="13"/>
      <c r="E102" s="13"/>
      <c r="F102" s="13"/>
      <c r="G102" s="14">
        <v>7.0000000000000007E-2</v>
      </c>
    </row>
    <row r="103" spans="2:7" ht="18" customHeight="1">
      <c r="B103" s="13">
        <v>1.07</v>
      </c>
      <c r="C103" s="13"/>
      <c r="D103" s="13"/>
      <c r="E103" s="13"/>
      <c r="F103" s="13"/>
      <c r="G103" s="14">
        <v>0.08</v>
      </c>
    </row>
    <row r="104" spans="2:7" ht="18" customHeight="1">
      <c r="B104" s="13">
        <v>1.08</v>
      </c>
      <c r="C104" s="13"/>
      <c r="D104" s="13"/>
      <c r="E104" s="13"/>
      <c r="F104" s="13"/>
      <c r="G104" s="14">
        <v>0.04</v>
      </c>
    </row>
    <row r="105" spans="2:7" ht="18" customHeight="1">
      <c r="B105" s="13">
        <v>1.0900000000000001</v>
      </c>
      <c r="C105" s="13"/>
      <c r="D105" s="13"/>
      <c r="E105" s="13"/>
      <c r="F105" s="13"/>
      <c r="G105" s="14">
        <v>0.04</v>
      </c>
    </row>
    <row r="106" spans="2:7" ht="18" customHeight="1">
      <c r="B106" s="13">
        <v>1.1000000000000001</v>
      </c>
      <c r="C106" s="13"/>
      <c r="D106" s="13"/>
      <c r="E106" s="13"/>
      <c r="F106" s="13"/>
      <c r="G106" s="14">
        <v>0.04</v>
      </c>
    </row>
    <row r="107" spans="2:7" ht="18" customHeight="1">
      <c r="B107" s="13">
        <v>1.2</v>
      </c>
      <c r="C107" s="13"/>
      <c r="D107" s="13"/>
      <c r="E107" s="13"/>
      <c r="F107" s="13"/>
      <c r="G107" s="14">
        <v>0.14000000000000001</v>
      </c>
    </row>
    <row r="108" spans="2:7" ht="18" customHeight="1">
      <c r="B108" s="13">
        <v>1.3</v>
      </c>
      <c r="C108" s="13"/>
      <c r="D108" s="13"/>
      <c r="E108" s="13"/>
      <c r="F108" s="13"/>
      <c r="G108" s="14">
        <v>0.03</v>
      </c>
    </row>
    <row r="109" spans="2:7" ht="18" customHeight="1">
      <c r="B109" s="13">
        <v>1.4</v>
      </c>
      <c r="C109" s="13"/>
      <c r="D109" s="13"/>
      <c r="E109" s="13"/>
      <c r="F109" s="13"/>
      <c r="G109" s="14">
        <v>7.0000000000000007E-2</v>
      </c>
    </row>
    <row r="110" spans="2:7" ht="18" customHeight="1">
      <c r="B110" s="13">
        <v>1.5</v>
      </c>
      <c r="C110" s="13"/>
      <c r="D110" s="13"/>
      <c r="E110" s="13"/>
      <c r="F110" s="13"/>
      <c r="G110" s="14">
        <v>0.02</v>
      </c>
    </row>
    <row r="111" spans="2:7" ht="18" customHeight="1">
      <c r="B111" s="13">
        <v>1.6</v>
      </c>
      <c r="C111" s="13"/>
      <c r="D111" s="13"/>
      <c r="E111" s="13"/>
      <c r="F111" s="13"/>
      <c r="G111" s="14">
        <v>7.0000000000000007E-2</v>
      </c>
    </row>
    <row r="112" spans="2:7" ht="18" customHeight="1">
      <c r="B112" s="13">
        <v>1.7</v>
      </c>
      <c r="C112" s="13"/>
      <c r="D112" s="13"/>
      <c r="E112" s="13"/>
      <c r="F112" s="13"/>
      <c r="G112" s="14">
        <v>7.0000000000000007E-2</v>
      </c>
    </row>
    <row r="113" spans="2:7" ht="18" customHeight="1">
      <c r="B113" s="13">
        <v>1.8</v>
      </c>
      <c r="C113" s="13"/>
      <c r="D113" s="13"/>
      <c r="E113" s="13"/>
      <c r="F113" s="13"/>
      <c r="G113" s="14">
        <v>0.06</v>
      </c>
    </row>
    <row r="114" spans="2:7" ht="18" customHeight="1">
      <c r="B114" s="13">
        <v>1.9</v>
      </c>
      <c r="C114" s="13"/>
      <c r="D114" s="13"/>
      <c r="E114" s="13"/>
      <c r="F114" s="13"/>
      <c r="G114" s="14">
        <v>0.04</v>
      </c>
    </row>
    <row r="115" spans="2:7" ht="18" customHeight="1">
      <c r="B115" s="13">
        <v>2</v>
      </c>
      <c r="C115" s="13"/>
      <c r="D115" s="13"/>
      <c r="E115" s="13"/>
      <c r="F115" s="13"/>
      <c r="G115" s="14">
        <v>0.03</v>
      </c>
    </row>
    <row r="116" spans="2:7" ht="18" customHeight="1">
      <c r="B116" s="13">
        <v>3</v>
      </c>
      <c r="C116" s="13"/>
      <c r="D116" s="13"/>
      <c r="E116" s="13"/>
      <c r="F116" s="13"/>
      <c r="G116" s="14">
        <v>0.08</v>
      </c>
    </row>
    <row r="117" spans="2:7" ht="18" customHeight="1">
      <c r="B117" s="13">
        <v>4</v>
      </c>
      <c r="C117" s="13"/>
      <c r="D117" s="13"/>
      <c r="E117" s="13"/>
      <c r="F117" s="13"/>
      <c r="G117" s="14">
        <v>0.06</v>
      </c>
    </row>
    <row r="118" spans="2:7" ht="18" customHeight="1">
      <c r="B118" s="13">
        <v>5</v>
      </c>
      <c r="C118" s="13"/>
      <c r="D118" s="13"/>
      <c r="E118" s="13"/>
      <c r="F118" s="13"/>
      <c r="G118" s="14">
        <v>7.0000000000000007E-2</v>
      </c>
    </row>
    <row r="119" spans="2:7" ht="18" customHeight="1">
      <c r="B119" s="13">
        <v>6</v>
      </c>
      <c r="C119" s="13"/>
      <c r="D119" s="13"/>
      <c r="E119" s="13"/>
      <c r="F119" s="13"/>
      <c r="G119" s="14">
        <v>0.05</v>
      </c>
    </row>
    <row r="120" spans="2:7" ht="18" customHeight="1">
      <c r="B120" s="13">
        <v>7</v>
      </c>
      <c r="C120" s="13"/>
      <c r="D120" s="13"/>
      <c r="E120" s="13"/>
      <c r="F120" s="13"/>
      <c r="G120" s="14">
        <v>7.0000000000000007E-2</v>
      </c>
    </row>
    <row r="121" spans="2:7" ht="18" customHeight="1">
      <c r="B121" s="13">
        <v>8</v>
      </c>
      <c r="C121" s="13"/>
      <c r="D121" s="13"/>
      <c r="E121" s="13"/>
      <c r="F121" s="13"/>
      <c r="G121" s="14">
        <v>0.01</v>
      </c>
    </row>
    <row r="122" spans="2:7" ht="18" customHeight="1">
      <c r="B122" s="13">
        <v>9</v>
      </c>
      <c r="C122" s="13"/>
      <c r="D122" s="13"/>
      <c r="E122" s="13"/>
      <c r="F122" s="13"/>
      <c r="G122" s="14">
        <v>7.0000000000000007E-2</v>
      </c>
    </row>
    <row r="123" spans="2:7" ht="18" customHeight="1">
      <c r="B123" s="13">
        <v>10</v>
      </c>
      <c r="C123" s="13"/>
      <c r="D123" s="13"/>
      <c r="E123" s="13"/>
      <c r="F123" s="13"/>
      <c r="G123" s="14">
        <v>0.06</v>
      </c>
    </row>
    <row r="124" spans="2:7" ht="18" customHeight="1">
      <c r="B124" s="13">
        <v>11</v>
      </c>
      <c r="C124" s="13"/>
      <c r="D124" s="13"/>
      <c r="E124" s="13"/>
      <c r="F124" s="13"/>
      <c r="G124" s="14">
        <v>0.06</v>
      </c>
    </row>
    <row r="125" spans="2:7" ht="18" customHeight="1">
      <c r="B125" s="13">
        <v>12</v>
      </c>
      <c r="C125" s="13"/>
      <c r="D125" s="13"/>
      <c r="E125" s="13"/>
      <c r="F125" s="13"/>
      <c r="G125" s="14">
        <v>0.02</v>
      </c>
    </row>
    <row r="126" spans="2:7" ht="18" customHeight="1">
      <c r="B126" s="13">
        <v>13</v>
      </c>
      <c r="C126" s="13"/>
      <c r="D126" s="13"/>
      <c r="E126" s="13"/>
      <c r="F126" s="13"/>
      <c r="G126" s="14">
        <v>0.04</v>
      </c>
    </row>
    <row r="127" spans="2:7" ht="18" customHeight="1">
      <c r="B127" s="13">
        <v>14</v>
      </c>
      <c r="C127" s="13"/>
      <c r="D127" s="13"/>
      <c r="E127" s="13"/>
      <c r="F127" s="13"/>
      <c r="G127" s="14">
        <v>0.05</v>
      </c>
    </row>
    <row r="128" spans="2:7" ht="18" customHeight="1">
      <c r="B128" s="13">
        <v>15</v>
      </c>
      <c r="C128" s="13"/>
      <c r="D128" s="13"/>
      <c r="E128" s="13"/>
      <c r="F128" s="13"/>
      <c r="G128" s="14">
        <v>0.05</v>
      </c>
    </row>
    <row r="129" spans="2:7" ht="18" customHeight="1">
      <c r="B129" s="13">
        <v>16</v>
      </c>
      <c r="C129" s="13"/>
      <c r="D129" s="13"/>
      <c r="E129" s="13"/>
      <c r="F129" s="13"/>
      <c r="G129" s="14">
        <v>7.0000000000000007E-2</v>
      </c>
    </row>
    <row r="130" spans="2:7" ht="18" customHeight="1">
      <c r="B130" s="13">
        <v>17</v>
      </c>
      <c r="C130" s="13"/>
      <c r="D130" s="13"/>
      <c r="E130" s="13"/>
      <c r="F130" s="13"/>
      <c r="G130" s="14">
        <v>0.04</v>
      </c>
    </row>
    <row r="131" spans="2:7" ht="18" customHeight="1">
      <c r="B131" s="13">
        <v>18</v>
      </c>
      <c r="C131" s="13"/>
      <c r="D131" s="13"/>
      <c r="E131" s="13"/>
      <c r="F131" s="13"/>
      <c r="G131" s="14">
        <v>0.05</v>
      </c>
    </row>
    <row r="132" spans="2:7" ht="18" customHeight="1">
      <c r="B132" s="13">
        <v>19</v>
      </c>
      <c r="C132" s="13"/>
      <c r="D132" s="13"/>
      <c r="E132" s="13"/>
      <c r="F132" s="13"/>
      <c r="G132" s="14">
        <v>0.09</v>
      </c>
    </row>
    <row r="133" spans="2:7" ht="18" customHeight="1">
      <c r="B133" s="13">
        <v>20</v>
      </c>
      <c r="C133" s="13"/>
      <c r="D133" s="13"/>
      <c r="E133" s="13"/>
      <c r="F133" s="13"/>
      <c r="G133" s="14">
        <v>0.08</v>
      </c>
    </row>
    <row r="134" spans="2:7" ht="18" customHeight="1">
      <c r="B134" s="13">
        <v>21</v>
      </c>
      <c r="C134" s="13"/>
      <c r="D134" s="13"/>
      <c r="E134" s="13"/>
      <c r="F134" s="13"/>
      <c r="G134" s="14">
        <v>0.06</v>
      </c>
    </row>
    <row r="135" spans="2:7" ht="18" customHeight="1">
      <c r="B135" s="13">
        <v>22</v>
      </c>
      <c r="C135" s="13"/>
      <c r="D135" s="13"/>
      <c r="E135" s="13"/>
      <c r="F135" s="13"/>
      <c r="G135" s="14">
        <v>0.04</v>
      </c>
    </row>
    <row r="136" spans="2:7" ht="18" customHeight="1">
      <c r="B136" s="13">
        <v>23</v>
      </c>
      <c r="C136" s="13"/>
      <c r="D136" s="13"/>
      <c r="E136" s="13"/>
      <c r="F136" s="13"/>
      <c r="G136" s="14">
        <v>0.04</v>
      </c>
    </row>
    <row r="137" spans="2:7" ht="18" customHeight="1">
      <c r="B137" s="13">
        <v>24</v>
      </c>
      <c r="C137" s="13"/>
      <c r="D137" s="13"/>
      <c r="E137" s="13"/>
      <c r="F137" s="13"/>
      <c r="G137" s="14">
        <v>0.13</v>
      </c>
    </row>
    <row r="138" spans="2:7" ht="18" customHeight="1">
      <c r="B138" s="13">
        <v>25</v>
      </c>
      <c r="C138" s="13"/>
      <c r="D138" s="13"/>
      <c r="E138" s="13"/>
      <c r="F138" s="13"/>
      <c r="G138" s="14">
        <v>0.05</v>
      </c>
    </row>
    <row r="139" spans="2:7" ht="18" customHeight="1">
      <c r="B139" s="13">
        <v>50</v>
      </c>
      <c r="C139" s="13"/>
      <c r="D139" s="13"/>
      <c r="E139" s="13"/>
      <c r="F139" s="13"/>
      <c r="G139" s="14">
        <v>0.14000000000000001</v>
      </c>
    </row>
    <row r="140" spans="2:7" ht="18" customHeight="1">
      <c r="B140" s="13">
        <v>75</v>
      </c>
      <c r="C140" s="13"/>
      <c r="D140" s="13"/>
      <c r="E140" s="13"/>
      <c r="F140" s="13"/>
      <c r="G140" s="14">
        <v>0.14000000000000001</v>
      </c>
    </row>
    <row r="141" spans="2:7" ht="18" customHeight="1">
      <c r="B141" s="13">
        <v>100</v>
      </c>
      <c r="C141" s="13"/>
      <c r="D141" s="13"/>
      <c r="E141" s="13"/>
      <c r="F141" s="13"/>
      <c r="G141" s="14">
        <v>0.08</v>
      </c>
    </row>
    <row r="142" spans="2:7" ht="18" customHeight="1">
      <c r="B142" s="13">
        <v>125</v>
      </c>
      <c r="C142" s="13"/>
      <c r="D142" s="13"/>
      <c r="E142" s="13"/>
      <c r="F142" s="13"/>
      <c r="G142" s="14">
        <v>0.03</v>
      </c>
    </row>
    <row r="143" spans="2:7" ht="18" customHeight="1">
      <c r="B143" s="13">
        <v>150</v>
      </c>
      <c r="C143" s="13"/>
      <c r="D143" s="13"/>
      <c r="E143" s="13"/>
      <c r="F143" s="13"/>
      <c r="G143" s="14">
        <v>0</v>
      </c>
    </row>
    <row r="144" spans="2:7" ht="18" customHeight="1">
      <c r="B144" s="13">
        <v>175</v>
      </c>
      <c r="C144" s="13"/>
      <c r="D144" s="13"/>
      <c r="E144" s="13"/>
      <c r="F144" s="13"/>
      <c r="G144" s="14">
        <v>0</v>
      </c>
    </row>
    <row r="145" spans="2:7" ht="18" customHeight="1">
      <c r="B145" s="13">
        <v>200</v>
      </c>
      <c r="C145" s="13"/>
      <c r="D145" s="13"/>
      <c r="E145" s="13"/>
      <c r="F145" s="13"/>
      <c r="G145" s="14">
        <v>0</v>
      </c>
    </row>
    <row r="146" spans="2:7" ht="18" customHeight="1">
      <c r="B146" s="13">
        <v>250</v>
      </c>
      <c r="C146" s="13"/>
      <c r="D146" s="13"/>
      <c r="E146" s="13"/>
      <c r="F146" s="13"/>
      <c r="G146" s="14">
        <v>0</v>
      </c>
    </row>
    <row r="147" spans="2:7" ht="18" customHeight="1">
      <c r="B147" s="13">
        <v>300</v>
      </c>
      <c r="C147" s="13"/>
      <c r="D147" s="13"/>
      <c r="E147" s="13"/>
      <c r="F147" s="13"/>
      <c r="G147" s="14">
        <v>0</v>
      </c>
    </row>
    <row r="148" spans="2:7" ht="18" customHeight="1">
      <c r="B148" s="13">
        <v>400</v>
      </c>
      <c r="C148" s="13"/>
      <c r="D148" s="13"/>
      <c r="E148" s="13"/>
      <c r="F148" s="13"/>
      <c r="G148" s="14">
        <v>0</v>
      </c>
    </row>
    <row r="149" spans="2:7" ht="18" customHeight="1">
      <c r="B149" s="13">
        <v>500</v>
      </c>
      <c r="C149" s="13"/>
      <c r="D149" s="13"/>
      <c r="E149" s="13"/>
      <c r="F149" s="13"/>
      <c r="G149" s="14">
        <v>0</v>
      </c>
    </row>
    <row r="150" spans="2:7" ht="18" customHeight="1">
      <c r="B150" s="13">
        <v>600</v>
      </c>
      <c r="C150" s="13"/>
      <c r="D150" s="13"/>
      <c r="E150" s="13"/>
      <c r="F150" s="13"/>
      <c r="G150" s="14">
        <v>0</v>
      </c>
    </row>
    <row r="151" spans="2:7" ht="18" customHeight="1">
      <c r="B151" s="13">
        <v>700</v>
      </c>
      <c r="C151" s="13"/>
      <c r="D151" s="13"/>
      <c r="E151" s="13"/>
      <c r="F151" s="13"/>
      <c r="G151" s="14">
        <v>0</v>
      </c>
    </row>
    <row r="152" spans="2:7" ht="18" customHeight="1">
      <c r="B152" s="13">
        <v>800</v>
      </c>
      <c r="C152" s="13"/>
      <c r="D152" s="13"/>
      <c r="E152" s="13"/>
      <c r="F152" s="13"/>
      <c r="G152" s="14">
        <v>0</v>
      </c>
    </row>
    <row r="153" spans="2:7" ht="18" customHeight="1">
      <c r="B153" s="13">
        <v>900</v>
      </c>
      <c r="C153" s="13"/>
      <c r="D153" s="13"/>
      <c r="E153" s="13"/>
      <c r="F153" s="13"/>
      <c r="G153" s="14">
        <v>0</v>
      </c>
    </row>
    <row r="154" spans="2:7" ht="18" customHeight="1">
      <c r="B154" s="13">
        <v>1000</v>
      </c>
      <c r="C154" s="13"/>
      <c r="D154" s="13"/>
      <c r="E154" s="13"/>
      <c r="F154" s="13"/>
      <c r="G154" s="14">
        <v>0</v>
      </c>
    </row>
  </sheetData>
  <mergeCells count="22"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  <mergeCell ref="T3:T5"/>
    <mergeCell ref="U3:U5"/>
    <mergeCell ref="V3:V5"/>
    <mergeCell ref="W3:W5"/>
    <mergeCell ref="N3:O5"/>
    <mergeCell ref="P3:Q5"/>
    <mergeCell ref="B2:Q2"/>
    <mergeCell ref="B3:B4"/>
    <mergeCell ref="C3:G3"/>
    <mergeCell ref="H3:I3"/>
    <mergeCell ref="J3:K3"/>
    <mergeCell ref="L3:M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topLeftCell="A133" workbookViewId="0">
      <selection activeCell="L141" sqref="L141"/>
    </sheetView>
  </sheetViews>
  <sheetFormatPr defaultRowHeight="15" customHeight="1"/>
  <cols>
    <col min="1" max="1" width="9.140625" style="531"/>
    <col min="2" max="2" width="18.42578125" style="531" customWidth="1"/>
    <col min="3" max="3" width="5.7109375" style="531" customWidth="1"/>
    <col min="4" max="4" width="7" style="531" customWidth="1"/>
    <col min="5" max="5" width="3.140625" style="577" customWidth="1"/>
    <col min="6" max="7" width="5" style="531" customWidth="1"/>
    <col min="8" max="8" width="8.5703125" style="531" customWidth="1"/>
    <col min="9" max="9" width="8.7109375" style="531" customWidth="1"/>
    <col min="10" max="10" width="10" style="531" bestFit="1" customWidth="1"/>
    <col min="11" max="11" width="9.28515625" style="531" bestFit="1" customWidth="1"/>
    <col min="12" max="12" width="12" style="531" customWidth="1"/>
    <col min="13" max="249" width="9.140625" style="531"/>
    <col min="250" max="250" width="18.42578125" style="531" customWidth="1"/>
    <col min="251" max="251" width="5.7109375" style="531" customWidth="1"/>
    <col min="252" max="252" width="6.7109375" style="531" customWidth="1"/>
    <col min="253" max="253" width="3.140625" style="531" customWidth="1"/>
    <col min="254" max="255" width="5" style="531" customWidth="1"/>
    <col min="256" max="256" width="8.5703125" style="531" customWidth="1"/>
    <col min="257" max="257" width="8.7109375" style="531" customWidth="1"/>
    <col min="258" max="259" width="9.140625" style="531"/>
    <col min="260" max="260" width="12" style="531" customWidth="1"/>
    <col min="261" max="261" width="12.85546875" style="531" bestFit="1" customWidth="1"/>
    <col min="262" max="262" width="9.140625" style="531"/>
    <col min="263" max="263" width="4" style="531" customWidth="1"/>
    <col min="264" max="264" width="2.140625" style="531" bestFit="1" customWidth="1"/>
    <col min="265" max="265" width="12.7109375" style="531" customWidth="1"/>
    <col min="266" max="266" width="10.85546875" style="531" customWidth="1"/>
    <col min="267" max="505" width="9.140625" style="531"/>
    <col min="506" max="506" width="18.42578125" style="531" customWidth="1"/>
    <col min="507" max="507" width="5.7109375" style="531" customWidth="1"/>
    <col min="508" max="508" width="6.7109375" style="531" customWidth="1"/>
    <col min="509" max="509" width="3.140625" style="531" customWidth="1"/>
    <col min="510" max="511" width="5" style="531" customWidth="1"/>
    <col min="512" max="512" width="8.5703125" style="531" customWidth="1"/>
    <col min="513" max="513" width="8.7109375" style="531" customWidth="1"/>
    <col min="514" max="515" width="9.140625" style="531"/>
    <col min="516" max="516" width="12" style="531" customWidth="1"/>
    <col min="517" max="517" width="12.85546875" style="531" bestFit="1" customWidth="1"/>
    <col min="518" max="518" width="9.140625" style="531"/>
    <col min="519" max="519" width="4" style="531" customWidth="1"/>
    <col min="520" max="520" width="2.140625" style="531" bestFit="1" customWidth="1"/>
    <col min="521" max="521" width="12.7109375" style="531" customWidth="1"/>
    <col min="522" max="522" width="10.85546875" style="531" customWidth="1"/>
    <col min="523" max="761" width="9.140625" style="531"/>
    <col min="762" max="762" width="18.42578125" style="531" customWidth="1"/>
    <col min="763" max="763" width="5.7109375" style="531" customWidth="1"/>
    <col min="764" max="764" width="6.7109375" style="531" customWidth="1"/>
    <col min="765" max="765" width="3.140625" style="531" customWidth="1"/>
    <col min="766" max="767" width="5" style="531" customWidth="1"/>
    <col min="768" max="768" width="8.5703125" style="531" customWidth="1"/>
    <col min="769" max="769" width="8.7109375" style="531" customWidth="1"/>
    <col min="770" max="771" width="9.140625" style="531"/>
    <col min="772" max="772" width="12" style="531" customWidth="1"/>
    <col min="773" max="773" width="12.85546875" style="531" bestFit="1" customWidth="1"/>
    <col min="774" max="774" width="9.140625" style="531"/>
    <col min="775" max="775" width="4" style="531" customWidth="1"/>
    <col min="776" max="776" width="2.140625" style="531" bestFit="1" customWidth="1"/>
    <col min="777" max="777" width="12.7109375" style="531" customWidth="1"/>
    <col min="778" max="778" width="10.85546875" style="531" customWidth="1"/>
    <col min="779" max="1017" width="9.140625" style="531"/>
    <col min="1018" max="1018" width="18.42578125" style="531" customWidth="1"/>
    <col min="1019" max="1019" width="5.7109375" style="531" customWidth="1"/>
    <col min="1020" max="1020" width="6.7109375" style="531" customWidth="1"/>
    <col min="1021" max="1021" width="3.140625" style="531" customWidth="1"/>
    <col min="1022" max="1023" width="5" style="531" customWidth="1"/>
    <col min="1024" max="1024" width="8.5703125" style="531" customWidth="1"/>
    <col min="1025" max="1025" width="8.7109375" style="531" customWidth="1"/>
    <col min="1026" max="1027" width="9.140625" style="531"/>
    <col min="1028" max="1028" width="12" style="531" customWidth="1"/>
    <col min="1029" max="1029" width="12.85546875" style="531" bestFit="1" customWidth="1"/>
    <col min="1030" max="1030" width="9.140625" style="531"/>
    <col min="1031" max="1031" width="4" style="531" customWidth="1"/>
    <col min="1032" max="1032" width="2.140625" style="531" bestFit="1" customWidth="1"/>
    <col min="1033" max="1033" width="12.7109375" style="531" customWidth="1"/>
    <col min="1034" max="1034" width="10.85546875" style="531" customWidth="1"/>
    <col min="1035" max="1273" width="9.140625" style="531"/>
    <col min="1274" max="1274" width="18.42578125" style="531" customWidth="1"/>
    <col min="1275" max="1275" width="5.7109375" style="531" customWidth="1"/>
    <col min="1276" max="1276" width="6.7109375" style="531" customWidth="1"/>
    <col min="1277" max="1277" width="3.140625" style="531" customWidth="1"/>
    <col min="1278" max="1279" width="5" style="531" customWidth="1"/>
    <col min="1280" max="1280" width="8.5703125" style="531" customWidth="1"/>
    <col min="1281" max="1281" width="8.7109375" style="531" customWidth="1"/>
    <col min="1282" max="1283" width="9.140625" style="531"/>
    <col min="1284" max="1284" width="12" style="531" customWidth="1"/>
    <col min="1285" max="1285" width="12.85546875" style="531" bestFit="1" customWidth="1"/>
    <col min="1286" max="1286" width="9.140625" style="531"/>
    <col min="1287" max="1287" width="4" style="531" customWidth="1"/>
    <col min="1288" max="1288" width="2.140625" style="531" bestFit="1" customWidth="1"/>
    <col min="1289" max="1289" width="12.7109375" style="531" customWidth="1"/>
    <col min="1290" max="1290" width="10.85546875" style="531" customWidth="1"/>
    <col min="1291" max="1529" width="9.140625" style="531"/>
    <col min="1530" max="1530" width="18.42578125" style="531" customWidth="1"/>
    <col min="1531" max="1531" width="5.7109375" style="531" customWidth="1"/>
    <col min="1532" max="1532" width="6.7109375" style="531" customWidth="1"/>
    <col min="1533" max="1533" width="3.140625" style="531" customWidth="1"/>
    <col min="1534" max="1535" width="5" style="531" customWidth="1"/>
    <col min="1536" max="1536" width="8.5703125" style="531" customWidth="1"/>
    <col min="1537" max="1537" width="8.7109375" style="531" customWidth="1"/>
    <col min="1538" max="1539" width="9.140625" style="531"/>
    <col min="1540" max="1540" width="12" style="531" customWidth="1"/>
    <col min="1541" max="1541" width="12.85546875" style="531" bestFit="1" customWidth="1"/>
    <col min="1542" max="1542" width="9.140625" style="531"/>
    <col min="1543" max="1543" width="4" style="531" customWidth="1"/>
    <col min="1544" max="1544" width="2.140625" style="531" bestFit="1" customWidth="1"/>
    <col min="1545" max="1545" width="12.7109375" style="531" customWidth="1"/>
    <col min="1546" max="1546" width="10.85546875" style="531" customWidth="1"/>
    <col min="1547" max="1785" width="9.140625" style="531"/>
    <col min="1786" max="1786" width="18.42578125" style="531" customWidth="1"/>
    <col min="1787" max="1787" width="5.7109375" style="531" customWidth="1"/>
    <col min="1788" max="1788" width="6.7109375" style="531" customWidth="1"/>
    <col min="1789" max="1789" width="3.140625" style="531" customWidth="1"/>
    <col min="1790" max="1791" width="5" style="531" customWidth="1"/>
    <col min="1792" max="1792" width="8.5703125" style="531" customWidth="1"/>
    <col min="1793" max="1793" width="8.7109375" style="531" customWidth="1"/>
    <col min="1794" max="1795" width="9.140625" style="531"/>
    <col min="1796" max="1796" width="12" style="531" customWidth="1"/>
    <col min="1797" max="1797" width="12.85546875" style="531" bestFit="1" customWidth="1"/>
    <col min="1798" max="1798" width="9.140625" style="531"/>
    <col min="1799" max="1799" width="4" style="531" customWidth="1"/>
    <col min="1800" max="1800" width="2.140625" style="531" bestFit="1" customWidth="1"/>
    <col min="1801" max="1801" width="12.7109375" style="531" customWidth="1"/>
    <col min="1802" max="1802" width="10.85546875" style="531" customWidth="1"/>
    <col min="1803" max="2041" width="9.140625" style="531"/>
    <col min="2042" max="2042" width="18.42578125" style="531" customWidth="1"/>
    <col min="2043" max="2043" width="5.7109375" style="531" customWidth="1"/>
    <col min="2044" max="2044" width="6.7109375" style="531" customWidth="1"/>
    <col min="2045" max="2045" width="3.140625" style="531" customWidth="1"/>
    <col min="2046" max="2047" width="5" style="531" customWidth="1"/>
    <col min="2048" max="2048" width="8.5703125" style="531" customWidth="1"/>
    <col min="2049" max="2049" width="8.7109375" style="531" customWidth="1"/>
    <col min="2050" max="2051" width="9.140625" style="531"/>
    <col min="2052" max="2052" width="12" style="531" customWidth="1"/>
    <col min="2053" max="2053" width="12.85546875" style="531" bestFit="1" customWidth="1"/>
    <col min="2054" max="2054" width="9.140625" style="531"/>
    <col min="2055" max="2055" width="4" style="531" customWidth="1"/>
    <col min="2056" max="2056" width="2.140625" style="531" bestFit="1" customWidth="1"/>
    <col min="2057" max="2057" width="12.7109375" style="531" customWidth="1"/>
    <col min="2058" max="2058" width="10.85546875" style="531" customWidth="1"/>
    <col min="2059" max="2297" width="9.140625" style="531"/>
    <col min="2298" max="2298" width="18.42578125" style="531" customWidth="1"/>
    <col min="2299" max="2299" width="5.7109375" style="531" customWidth="1"/>
    <col min="2300" max="2300" width="6.7109375" style="531" customWidth="1"/>
    <col min="2301" max="2301" width="3.140625" style="531" customWidth="1"/>
    <col min="2302" max="2303" width="5" style="531" customWidth="1"/>
    <col min="2304" max="2304" width="8.5703125" style="531" customWidth="1"/>
    <col min="2305" max="2305" width="8.7109375" style="531" customWidth="1"/>
    <col min="2306" max="2307" width="9.140625" style="531"/>
    <col min="2308" max="2308" width="12" style="531" customWidth="1"/>
    <col min="2309" max="2309" width="12.85546875" style="531" bestFit="1" customWidth="1"/>
    <col min="2310" max="2310" width="9.140625" style="531"/>
    <col min="2311" max="2311" width="4" style="531" customWidth="1"/>
    <col min="2312" max="2312" width="2.140625" style="531" bestFit="1" customWidth="1"/>
    <col min="2313" max="2313" width="12.7109375" style="531" customWidth="1"/>
    <col min="2314" max="2314" width="10.85546875" style="531" customWidth="1"/>
    <col min="2315" max="2553" width="9.140625" style="531"/>
    <col min="2554" max="2554" width="18.42578125" style="531" customWidth="1"/>
    <col min="2555" max="2555" width="5.7109375" style="531" customWidth="1"/>
    <col min="2556" max="2556" width="6.7109375" style="531" customWidth="1"/>
    <col min="2557" max="2557" width="3.140625" style="531" customWidth="1"/>
    <col min="2558" max="2559" width="5" style="531" customWidth="1"/>
    <col min="2560" max="2560" width="8.5703125" style="531" customWidth="1"/>
    <col min="2561" max="2561" width="8.7109375" style="531" customWidth="1"/>
    <col min="2562" max="2563" width="9.140625" style="531"/>
    <col min="2564" max="2564" width="12" style="531" customWidth="1"/>
    <col min="2565" max="2565" width="12.85546875" style="531" bestFit="1" customWidth="1"/>
    <col min="2566" max="2566" width="9.140625" style="531"/>
    <col min="2567" max="2567" width="4" style="531" customWidth="1"/>
    <col min="2568" max="2568" width="2.140625" style="531" bestFit="1" customWidth="1"/>
    <col min="2569" max="2569" width="12.7109375" style="531" customWidth="1"/>
    <col min="2570" max="2570" width="10.85546875" style="531" customWidth="1"/>
    <col min="2571" max="2809" width="9.140625" style="531"/>
    <col min="2810" max="2810" width="18.42578125" style="531" customWidth="1"/>
    <col min="2811" max="2811" width="5.7109375" style="531" customWidth="1"/>
    <col min="2812" max="2812" width="6.7109375" style="531" customWidth="1"/>
    <col min="2813" max="2813" width="3.140625" style="531" customWidth="1"/>
    <col min="2814" max="2815" width="5" style="531" customWidth="1"/>
    <col min="2816" max="2816" width="8.5703125" style="531" customWidth="1"/>
    <col min="2817" max="2817" width="8.7109375" style="531" customWidth="1"/>
    <col min="2818" max="2819" width="9.140625" style="531"/>
    <col min="2820" max="2820" width="12" style="531" customWidth="1"/>
    <col min="2821" max="2821" width="12.85546875" style="531" bestFit="1" customWidth="1"/>
    <col min="2822" max="2822" width="9.140625" style="531"/>
    <col min="2823" max="2823" width="4" style="531" customWidth="1"/>
    <col min="2824" max="2824" width="2.140625" style="531" bestFit="1" customWidth="1"/>
    <col min="2825" max="2825" width="12.7109375" style="531" customWidth="1"/>
    <col min="2826" max="2826" width="10.85546875" style="531" customWidth="1"/>
    <col min="2827" max="3065" width="9.140625" style="531"/>
    <col min="3066" max="3066" width="18.42578125" style="531" customWidth="1"/>
    <col min="3067" max="3067" width="5.7109375" style="531" customWidth="1"/>
    <col min="3068" max="3068" width="6.7109375" style="531" customWidth="1"/>
    <col min="3069" max="3069" width="3.140625" style="531" customWidth="1"/>
    <col min="3070" max="3071" width="5" style="531" customWidth="1"/>
    <col min="3072" max="3072" width="8.5703125" style="531" customWidth="1"/>
    <col min="3073" max="3073" width="8.7109375" style="531" customWidth="1"/>
    <col min="3074" max="3075" width="9.140625" style="531"/>
    <col min="3076" max="3076" width="12" style="531" customWidth="1"/>
    <col min="3077" max="3077" width="12.85546875" style="531" bestFit="1" customWidth="1"/>
    <col min="3078" max="3078" width="9.140625" style="531"/>
    <col min="3079" max="3079" width="4" style="531" customWidth="1"/>
    <col min="3080" max="3080" width="2.140625" style="531" bestFit="1" customWidth="1"/>
    <col min="3081" max="3081" width="12.7109375" style="531" customWidth="1"/>
    <col min="3082" max="3082" width="10.85546875" style="531" customWidth="1"/>
    <col min="3083" max="3321" width="9.140625" style="531"/>
    <col min="3322" max="3322" width="18.42578125" style="531" customWidth="1"/>
    <col min="3323" max="3323" width="5.7109375" style="531" customWidth="1"/>
    <col min="3324" max="3324" width="6.7109375" style="531" customWidth="1"/>
    <col min="3325" max="3325" width="3.140625" style="531" customWidth="1"/>
    <col min="3326" max="3327" width="5" style="531" customWidth="1"/>
    <col min="3328" max="3328" width="8.5703125" style="531" customWidth="1"/>
    <col min="3329" max="3329" width="8.7109375" style="531" customWidth="1"/>
    <col min="3330" max="3331" width="9.140625" style="531"/>
    <col min="3332" max="3332" width="12" style="531" customWidth="1"/>
    <col min="3333" max="3333" width="12.85546875" style="531" bestFit="1" customWidth="1"/>
    <col min="3334" max="3334" width="9.140625" style="531"/>
    <col min="3335" max="3335" width="4" style="531" customWidth="1"/>
    <col min="3336" max="3336" width="2.140625" style="531" bestFit="1" customWidth="1"/>
    <col min="3337" max="3337" width="12.7109375" style="531" customWidth="1"/>
    <col min="3338" max="3338" width="10.85546875" style="531" customWidth="1"/>
    <col min="3339" max="3577" width="9.140625" style="531"/>
    <col min="3578" max="3578" width="18.42578125" style="531" customWidth="1"/>
    <col min="3579" max="3579" width="5.7109375" style="531" customWidth="1"/>
    <col min="3580" max="3580" width="6.7109375" style="531" customWidth="1"/>
    <col min="3581" max="3581" width="3.140625" style="531" customWidth="1"/>
    <col min="3582" max="3583" width="5" style="531" customWidth="1"/>
    <col min="3584" max="3584" width="8.5703125" style="531" customWidth="1"/>
    <col min="3585" max="3585" width="8.7109375" style="531" customWidth="1"/>
    <col min="3586" max="3587" width="9.140625" style="531"/>
    <col min="3588" max="3588" width="12" style="531" customWidth="1"/>
    <col min="3589" max="3589" width="12.85546875" style="531" bestFit="1" customWidth="1"/>
    <col min="3590" max="3590" width="9.140625" style="531"/>
    <col min="3591" max="3591" width="4" style="531" customWidth="1"/>
    <col min="3592" max="3592" width="2.140625" style="531" bestFit="1" customWidth="1"/>
    <col min="3593" max="3593" width="12.7109375" style="531" customWidth="1"/>
    <col min="3594" max="3594" width="10.85546875" style="531" customWidth="1"/>
    <col min="3595" max="3833" width="9.140625" style="531"/>
    <col min="3834" max="3834" width="18.42578125" style="531" customWidth="1"/>
    <col min="3835" max="3835" width="5.7109375" style="531" customWidth="1"/>
    <col min="3836" max="3836" width="6.7109375" style="531" customWidth="1"/>
    <col min="3837" max="3837" width="3.140625" style="531" customWidth="1"/>
    <col min="3838" max="3839" width="5" style="531" customWidth="1"/>
    <col min="3840" max="3840" width="8.5703125" style="531" customWidth="1"/>
    <col min="3841" max="3841" width="8.7109375" style="531" customWidth="1"/>
    <col min="3842" max="3843" width="9.140625" style="531"/>
    <col min="3844" max="3844" width="12" style="531" customWidth="1"/>
    <col min="3845" max="3845" width="12.85546875" style="531" bestFit="1" customWidth="1"/>
    <col min="3846" max="3846" width="9.140625" style="531"/>
    <col min="3847" max="3847" width="4" style="531" customWidth="1"/>
    <col min="3848" max="3848" width="2.140625" style="531" bestFit="1" customWidth="1"/>
    <col min="3849" max="3849" width="12.7109375" style="531" customWidth="1"/>
    <col min="3850" max="3850" width="10.85546875" style="531" customWidth="1"/>
    <col min="3851" max="4089" width="9.140625" style="531"/>
    <col min="4090" max="4090" width="18.42578125" style="531" customWidth="1"/>
    <col min="4091" max="4091" width="5.7109375" style="531" customWidth="1"/>
    <col min="4092" max="4092" width="6.7109375" style="531" customWidth="1"/>
    <col min="4093" max="4093" width="3.140625" style="531" customWidth="1"/>
    <col min="4094" max="4095" width="5" style="531" customWidth="1"/>
    <col min="4096" max="4096" width="8.5703125" style="531" customWidth="1"/>
    <col min="4097" max="4097" width="8.7109375" style="531" customWidth="1"/>
    <col min="4098" max="4099" width="9.140625" style="531"/>
    <col min="4100" max="4100" width="12" style="531" customWidth="1"/>
    <col min="4101" max="4101" width="12.85546875" style="531" bestFit="1" customWidth="1"/>
    <col min="4102" max="4102" width="9.140625" style="531"/>
    <col min="4103" max="4103" width="4" style="531" customWidth="1"/>
    <col min="4104" max="4104" width="2.140625" style="531" bestFit="1" customWidth="1"/>
    <col min="4105" max="4105" width="12.7109375" style="531" customWidth="1"/>
    <col min="4106" max="4106" width="10.85546875" style="531" customWidth="1"/>
    <col min="4107" max="4345" width="9.140625" style="531"/>
    <col min="4346" max="4346" width="18.42578125" style="531" customWidth="1"/>
    <col min="4347" max="4347" width="5.7109375" style="531" customWidth="1"/>
    <col min="4348" max="4348" width="6.7109375" style="531" customWidth="1"/>
    <col min="4349" max="4349" width="3.140625" style="531" customWidth="1"/>
    <col min="4350" max="4351" width="5" style="531" customWidth="1"/>
    <col min="4352" max="4352" width="8.5703125" style="531" customWidth="1"/>
    <col min="4353" max="4353" width="8.7109375" style="531" customWidth="1"/>
    <col min="4354" max="4355" width="9.140625" style="531"/>
    <col min="4356" max="4356" width="12" style="531" customWidth="1"/>
    <col min="4357" max="4357" width="12.85546875" style="531" bestFit="1" customWidth="1"/>
    <col min="4358" max="4358" width="9.140625" style="531"/>
    <col min="4359" max="4359" width="4" style="531" customWidth="1"/>
    <col min="4360" max="4360" width="2.140625" style="531" bestFit="1" customWidth="1"/>
    <col min="4361" max="4361" width="12.7109375" style="531" customWidth="1"/>
    <col min="4362" max="4362" width="10.85546875" style="531" customWidth="1"/>
    <col min="4363" max="4601" width="9.140625" style="531"/>
    <col min="4602" max="4602" width="18.42578125" style="531" customWidth="1"/>
    <col min="4603" max="4603" width="5.7109375" style="531" customWidth="1"/>
    <col min="4604" max="4604" width="6.7109375" style="531" customWidth="1"/>
    <col min="4605" max="4605" width="3.140625" style="531" customWidth="1"/>
    <col min="4606" max="4607" width="5" style="531" customWidth="1"/>
    <col min="4608" max="4608" width="8.5703125" style="531" customWidth="1"/>
    <col min="4609" max="4609" width="8.7109375" style="531" customWidth="1"/>
    <col min="4610" max="4611" width="9.140625" style="531"/>
    <col min="4612" max="4612" width="12" style="531" customWidth="1"/>
    <col min="4613" max="4613" width="12.85546875" style="531" bestFit="1" customWidth="1"/>
    <col min="4614" max="4614" width="9.140625" style="531"/>
    <col min="4615" max="4615" width="4" style="531" customWidth="1"/>
    <col min="4616" max="4616" width="2.140625" style="531" bestFit="1" customWidth="1"/>
    <col min="4617" max="4617" width="12.7109375" style="531" customWidth="1"/>
    <col min="4618" max="4618" width="10.85546875" style="531" customWidth="1"/>
    <col min="4619" max="4857" width="9.140625" style="531"/>
    <col min="4858" max="4858" width="18.42578125" style="531" customWidth="1"/>
    <col min="4859" max="4859" width="5.7109375" style="531" customWidth="1"/>
    <col min="4860" max="4860" width="6.7109375" style="531" customWidth="1"/>
    <col min="4861" max="4861" width="3.140625" style="531" customWidth="1"/>
    <col min="4862" max="4863" width="5" style="531" customWidth="1"/>
    <col min="4864" max="4864" width="8.5703125" style="531" customWidth="1"/>
    <col min="4865" max="4865" width="8.7109375" style="531" customWidth="1"/>
    <col min="4866" max="4867" width="9.140625" style="531"/>
    <col min="4868" max="4868" width="12" style="531" customWidth="1"/>
    <col min="4869" max="4869" width="12.85546875" style="531" bestFit="1" customWidth="1"/>
    <col min="4870" max="4870" width="9.140625" style="531"/>
    <col min="4871" max="4871" width="4" style="531" customWidth="1"/>
    <col min="4872" max="4872" width="2.140625" style="531" bestFit="1" customWidth="1"/>
    <col min="4873" max="4873" width="12.7109375" style="531" customWidth="1"/>
    <col min="4874" max="4874" width="10.85546875" style="531" customWidth="1"/>
    <col min="4875" max="5113" width="9.140625" style="531"/>
    <col min="5114" max="5114" width="18.42578125" style="531" customWidth="1"/>
    <col min="5115" max="5115" width="5.7109375" style="531" customWidth="1"/>
    <col min="5116" max="5116" width="6.7109375" style="531" customWidth="1"/>
    <col min="5117" max="5117" width="3.140625" style="531" customWidth="1"/>
    <col min="5118" max="5119" width="5" style="531" customWidth="1"/>
    <col min="5120" max="5120" width="8.5703125" style="531" customWidth="1"/>
    <col min="5121" max="5121" width="8.7109375" style="531" customWidth="1"/>
    <col min="5122" max="5123" width="9.140625" style="531"/>
    <col min="5124" max="5124" width="12" style="531" customWidth="1"/>
    <col min="5125" max="5125" width="12.85546875" style="531" bestFit="1" customWidth="1"/>
    <col min="5126" max="5126" width="9.140625" style="531"/>
    <col min="5127" max="5127" width="4" style="531" customWidth="1"/>
    <col min="5128" max="5128" width="2.140625" style="531" bestFit="1" customWidth="1"/>
    <col min="5129" max="5129" width="12.7109375" style="531" customWidth="1"/>
    <col min="5130" max="5130" width="10.85546875" style="531" customWidth="1"/>
    <col min="5131" max="5369" width="9.140625" style="531"/>
    <col min="5370" max="5370" width="18.42578125" style="531" customWidth="1"/>
    <col min="5371" max="5371" width="5.7109375" style="531" customWidth="1"/>
    <col min="5372" max="5372" width="6.7109375" style="531" customWidth="1"/>
    <col min="5373" max="5373" width="3.140625" style="531" customWidth="1"/>
    <col min="5374" max="5375" width="5" style="531" customWidth="1"/>
    <col min="5376" max="5376" width="8.5703125" style="531" customWidth="1"/>
    <col min="5377" max="5377" width="8.7109375" style="531" customWidth="1"/>
    <col min="5378" max="5379" width="9.140625" style="531"/>
    <col min="5380" max="5380" width="12" style="531" customWidth="1"/>
    <col min="5381" max="5381" width="12.85546875" style="531" bestFit="1" customWidth="1"/>
    <col min="5382" max="5382" width="9.140625" style="531"/>
    <col min="5383" max="5383" width="4" style="531" customWidth="1"/>
    <col min="5384" max="5384" width="2.140625" style="531" bestFit="1" customWidth="1"/>
    <col min="5385" max="5385" width="12.7109375" style="531" customWidth="1"/>
    <col min="5386" max="5386" width="10.85546875" style="531" customWidth="1"/>
    <col min="5387" max="5625" width="9.140625" style="531"/>
    <col min="5626" max="5626" width="18.42578125" style="531" customWidth="1"/>
    <col min="5627" max="5627" width="5.7109375" style="531" customWidth="1"/>
    <col min="5628" max="5628" width="6.7109375" style="531" customWidth="1"/>
    <col min="5629" max="5629" width="3.140625" style="531" customWidth="1"/>
    <col min="5630" max="5631" width="5" style="531" customWidth="1"/>
    <col min="5632" max="5632" width="8.5703125" style="531" customWidth="1"/>
    <col min="5633" max="5633" width="8.7109375" style="531" customWidth="1"/>
    <col min="5634" max="5635" width="9.140625" style="531"/>
    <col min="5636" max="5636" width="12" style="531" customWidth="1"/>
    <col min="5637" max="5637" width="12.85546875" style="531" bestFit="1" customWidth="1"/>
    <col min="5638" max="5638" width="9.140625" style="531"/>
    <col min="5639" max="5639" width="4" style="531" customWidth="1"/>
    <col min="5640" max="5640" width="2.140625" style="531" bestFit="1" customWidth="1"/>
    <col min="5641" max="5641" width="12.7109375" style="531" customWidth="1"/>
    <col min="5642" max="5642" width="10.85546875" style="531" customWidth="1"/>
    <col min="5643" max="5881" width="9.140625" style="531"/>
    <col min="5882" max="5882" width="18.42578125" style="531" customWidth="1"/>
    <col min="5883" max="5883" width="5.7109375" style="531" customWidth="1"/>
    <col min="5884" max="5884" width="6.7109375" style="531" customWidth="1"/>
    <col min="5885" max="5885" width="3.140625" style="531" customWidth="1"/>
    <col min="5886" max="5887" width="5" style="531" customWidth="1"/>
    <col min="5888" max="5888" width="8.5703125" style="531" customWidth="1"/>
    <col min="5889" max="5889" width="8.7109375" style="531" customWidth="1"/>
    <col min="5890" max="5891" width="9.140625" style="531"/>
    <col min="5892" max="5892" width="12" style="531" customWidth="1"/>
    <col min="5893" max="5893" width="12.85546875" style="531" bestFit="1" customWidth="1"/>
    <col min="5894" max="5894" width="9.140625" style="531"/>
    <col min="5895" max="5895" width="4" style="531" customWidth="1"/>
    <col min="5896" max="5896" width="2.140625" style="531" bestFit="1" customWidth="1"/>
    <col min="5897" max="5897" width="12.7109375" style="531" customWidth="1"/>
    <col min="5898" max="5898" width="10.85546875" style="531" customWidth="1"/>
    <col min="5899" max="6137" width="9.140625" style="531"/>
    <col min="6138" max="6138" width="18.42578125" style="531" customWidth="1"/>
    <col min="6139" max="6139" width="5.7109375" style="531" customWidth="1"/>
    <col min="6140" max="6140" width="6.7109375" style="531" customWidth="1"/>
    <col min="6141" max="6141" width="3.140625" style="531" customWidth="1"/>
    <col min="6142" max="6143" width="5" style="531" customWidth="1"/>
    <col min="6144" max="6144" width="8.5703125" style="531" customWidth="1"/>
    <col min="6145" max="6145" width="8.7109375" style="531" customWidth="1"/>
    <col min="6146" max="6147" width="9.140625" style="531"/>
    <col min="6148" max="6148" width="12" style="531" customWidth="1"/>
    <col min="6149" max="6149" width="12.85546875" style="531" bestFit="1" customWidth="1"/>
    <col min="6150" max="6150" width="9.140625" style="531"/>
    <col min="6151" max="6151" width="4" style="531" customWidth="1"/>
    <col min="6152" max="6152" width="2.140625" style="531" bestFit="1" customWidth="1"/>
    <col min="6153" max="6153" width="12.7109375" style="531" customWidth="1"/>
    <col min="6154" max="6154" width="10.85546875" style="531" customWidth="1"/>
    <col min="6155" max="6393" width="9.140625" style="531"/>
    <col min="6394" max="6394" width="18.42578125" style="531" customWidth="1"/>
    <col min="6395" max="6395" width="5.7109375" style="531" customWidth="1"/>
    <col min="6396" max="6396" width="6.7109375" style="531" customWidth="1"/>
    <col min="6397" max="6397" width="3.140625" style="531" customWidth="1"/>
    <col min="6398" max="6399" width="5" style="531" customWidth="1"/>
    <col min="6400" max="6400" width="8.5703125" style="531" customWidth="1"/>
    <col min="6401" max="6401" width="8.7109375" style="531" customWidth="1"/>
    <col min="6402" max="6403" width="9.140625" style="531"/>
    <col min="6404" max="6404" width="12" style="531" customWidth="1"/>
    <col min="6405" max="6405" width="12.85546875" style="531" bestFit="1" customWidth="1"/>
    <col min="6406" max="6406" width="9.140625" style="531"/>
    <col min="6407" max="6407" width="4" style="531" customWidth="1"/>
    <col min="6408" max="6408" width="2.140625" style="531" bestFit="1" customWidth="1"/>
    <col min="6409" max="6409" width="12.7109375" style="531" customWidth="1"/>
    <col min="6410" max="6410" width="10.85546875" style="531" customWidth="1"/>
    <col min="6411" max="6649" width="9.140625" style="531"/>
    <col min="6650" max="6650" width="18.42578125" style="531" customWidth="1"/>
    <col min="6651" max="6651" width="5.7109375" style="531" customWidth="1"/>
    <col min="6652" max="6652" width="6.7109375" style="531" customWidth="1"/>
    <col min="6653" max="6653" width="3.140625" style="531" customWidth="1"/>
    <col min="6654" max="6655" width="5" style="531" customWidth="1"/>
    <col min="6656" max="6656" width="8.5703125" style="531" customWidth="1"/>
    <col min="6657" max="6657" width="8.7109375" style="531" customWidth="1"/>
    <col min="6658" max="6659" width="9.140625" style="531"/>
    <col min="6660" max="6660" width="12" style="531" customWidth="1"/>
    <col min="6661" max="6661" width="12.85546875" style="531" bestFit="1" customWidth="1"/>
    <col min="6662" max="6662" width="9.140625" style="531"/>
    <col min="6663" max="6663" width="4" style="531" customWidth="1"/>
    <col min="6664" max="6664" width="2.140625" style="531" bestFit="1" customWidth="1"/>
    <col min="6665" max="6665" width="12.7109375" style="531" customWidth="1"/>
    <col min="6666" max="6666" width="10.85546875" style="531" customWidth="1"/>
    <col min="6667" max="6905" width="9.140625" style="531"/>
    <col min="6906" max="6906" width="18.42578125" style="531" customWidth="1"/>
    <col min="6907" max="6907" width="5.7109375" style="531" customWidth="1"/>
    <col min="6908" max="6908" width="6.7109375" style="531" customWidth="1"/>
    <col min="6909" max="6909" width="3.140625" style="531" customWidth="1"/>
    <col min="6910" max="6911" width="5" style="531" customWidth="1"/>
    <col min="6912" max="6912" width="8.5703125" style="531" customWidth="1"/>
    <col min="6913" max="6913" width="8.7109375" style="531" customWidth="1"/>
    <col min="6914" max="6915" width="9.140625" style="531"/>
    <col min="6916" max="6916" width="12" style="531" customWidth="1"/>
    <col min="6917" max="6917" width="12.85546875" style="531" bestFit="1" customWidth="1"/>
    <col min="6918" max="6918" width="9.140625" style="531"/>
    <col min="6919" max="6919" width="4" style="531" customWidth="1"/>
    <col min="6920" max="6920" width="2.140625" style="531" bestFit="1" customWidth="1"/>
    <col min="6921" max="6921" width="12.7109375" style="531" customWidth="1"/>
    <col min="6922" max="6922" width="10.85546875" style="531" customWidth="1"/>
    <col min="6923" max="7161" width="9.140625" style="531"/>
    <col min="7162" max="7162" width="18.42578125" style="531" customWidth="1"/>
    <col min="7163" max="7163" width="5.7109375" style="531" customWidth="1"/>
    <col min="7164" max="7164" width="6.7109375" style="531" customWidth="1"/>
    <col min="7165" max="7165" width="3.140625" style="531" customWidth="1"/>
    <col min="7166" max="7167" width="5" style="531" customWidth="1"/>
    <col min="7168" max="7168" width="8.5703125" style="531" customWidth="1"/>
    <col min="7169" max="7169" width="8.7109375" style="531" customWidth="1"/>
    <col min="7170" max="7171" width="9.140625" style="531"/>
    <col min="7172" max="7172" width="12" style="531" customWidth="1"/>
    <col min="7173" max="7173" width="12.85546875" style="531" bestFit="1" customWidth="1"/>
    <col min="7174" max="7174" width="9.140625" style="531"/>
    <col min="7175" max="7175" width="4" style="531" customWidth="1"/>
    <col min="7176" max="7176" width="2.140625" style="531" bestFit="1" customWidth="1"/>
    <col min="7177" max="7177" width="12.7109375" style="531" customWidth="1"/>
    <col min="7178" max="7178" width="10.85546875" style="531" customWidth="1"/>
    <col min="7179" max="7417" width="9.140625" style="531"/>
    <col min="7418" max="7418" width="18.42578125" style="531" customWidth="1"/>
    <col min="7419" max="7419" width="5.7109375" style="531" customWidth="1"/>
    <col min="7420" max="7420" width="6.7109375" style="531" customWidth="1"/>
    <col min="7421" max="7421" width="3.140625" style="531" customWidth="1"/>
    <col min="7422" max="7423" width="5" style="531" customWidth="1"/>
    <col min="7424" max="7424" width="8.5703125" style="531" customWidth="1"/>
    <col min="7425" max="7425" width="8.7109375" style="531" customWidth="1"/>
    <col min="7426" max="7427" width="9.140625" style="531"/>
    <col min="7428" max="7428" width="12" style="531" customWidth="1"/>
    <col min="7429" max="7429" width="12.85546875" style="531" bestFit="1" customWidth="1"/>
    <col min="7430" max="7430" width="9.140625" style="531"/>
    <col min="7431" max="7431" width="4" style="531" customWidth="1"/>
    <col min="7432" max="7432" width="2.140625" style="531" bestFit="1" customWidth="1"/>
    <col min="7433" max="7433" width="12.7109375" style="531" customWidth="1"/>
    <col min="7434" max="7434" width="10.85546875" style="531" customWidth="1"/>
    <col min="7435" max="7673" width="9.140625" style="531"/>
    <col min="7674" max="7674" width="18.42578125" style="531" customWidth="1"/>
    <col min="7675" max="7675" width="5.7109375" style="531" customWidth="1"/>
    <col min="7676" max="7676" width="6.7109375" style="531" customWidth="1"/>
    <col min="7677" max="7677" width="3.140625" style="531" customWidth="1"/>
    <col min="7678" max="7679" width="5" style="531" customWidth="1"/>
    <col min="7680" max="7680" width="8.5703125" style="531" customWidth="1"/>
    <col min="7681" max="7681" width="8.7109375" style="531" customWidth="1"/>
    <col min="7682" max="7683" width="9.140625" style="531"/>
    <col min="7684" max="7684" width="12" style="531" customWidth="1"/>
    <col min="7685" max="7685" width="12.85546875" style="531" bestFit="1" customWidth="1"/>
    <col min="7686" max="7686" width="9.140625" style="531"/>
    <col min="7687" max="7687" width="4" style="531" customWidth="1"/>
    <col min="7688" max="7688" width="2.140625" style="531" bestFit="1" customWidth="1"/>
    <col min="7689" max="7689" width="12.7109375" style="531" customWidth="1"/>
    <col min="7690" max="7690" width="10.85546875" style="531" customWidth="1"/>
    <col min="7691" max="7929" width="9.140625" style="531"/>
    <col min="7930" max="7930" width="18.42578125" style="531" customWidth="1"/>
    <col min="7931" max="7931" width="5.7109375" style="531" customWidth="1"/>
    <col min="7932" max="7932" width="6.7109375" style="531" customWidth="1"/>
    <col min="7933" max="7933" width="3.140625" style="531" customWidth="1"/>
    <col min="7934" max="7935" width="5" style="531" customWidth="1"/>
    <col min="7936" max="7936" width="8.5703125" style="531" customWidth="1"/>
    <col min="7937" max="7937" width="8.7109375" style="531" customWidth="1"/>
    <col min="7938" max="7939" width="9.140625" style="531"/>
    <col min="7940" max="7940" width="12" style="531" customWidth="1"/>
    <col min="7941" max="7941" width="12.85546875" style="531" bestFit="1" customWidth="1"/>
    <col min="7942" max="7942" width="9.140625" style="531"/>
    <col min="7943" max="7943" width="4" style="531" customWidth="1"/>
    <col min="7944" max="7944" width="2.140625" style="531" bestFit="1" customWidth="1"/>
    <col min="7945" max="7945" width="12.7109375" style="531" customWidth="1"/>
    <col min="7946" max="7946" width="10.85546875" style="531" customWidth="1"/>
    <col min="7947" max="8185" width="9.140625" style="531"/>
    <col min="8186" max="8186" width="18.42578125" style="531" customWidth="1"/>
    <col min="8187" max="8187" width="5.7109375" style="531" customWidth="1"/>
    <col min="8188" max="8188" width="6.7109375" style="531" customWidth="1"/>
    <col min="8189" max="8189" width="3.140625" style="531" customWidth="1"/>
    <col min="8190" max="8191" width="5" style="531" customWidth="1"/>
    <col min="8192" max="8192" width="8.5703125" style="531" customWidth="1"/>
    <col min="8193" max="8193" width="8.7109375" style="531" customWidth="1"/>
    <col min="8194" max="8195" width="9.140625" style="531"/>
    <col min="8196" max="8196" width="12" style="531" customWidth="1"/>
    <col min="8197" max="8197" width="12.85546875" style="531" bestFit="1" customWidth="1"/>
    <col min="8198" max="8198" width="9.140625" style="531"/>
    <col min="8199" max="8199" width="4" style="531" customWidth="1"/>
    <col min="8200" max="8200" width="2.140625" style="531" bestFit="1" customWidth="1"/>
    <col min="8201" max="8201" width="12.7109375" style="531" customWidth="1"/>
    <col min="8202" max="8202" width="10.85546875" style="531" customWidth="1"/>
    <col min="8203" max="8441" width="9.140625" style="531"/>
    <col min="8442" max="8442" width="18.42578125" style="531" customWidth="1"/>
    <col min="8443" max="8443" width="5.7109375" style="531" customWidth="1"/>
    <col min="8444" max="8444" width="6.7109375" style="531" customWidth="1"/>
    <col min="8445" max="8445" width="3.140625" style="531" customWidth="1"/>
    <col min="8446" max="8447" width="5" style="531" customWidth="1"/>
    <col min="8448" max="8448" width="8.5703125" style="531" customWidth="1"/>
    <col min="8449" max="8449" width="8.7109375" style="531" customWidth="1"/>
    <col min="8450" max="8451" width="9.140625" style="531"/>
    <col min="8452" max="8452" width="12" style="531" customWidth="1"/>
    <col min="8453" max="8453" width="12.85546875" style="531" bestFit="1" customWidth="1"/>
    <col min="8454" max="8454" width="9.140625" style="531"/>
    <col min="8455" max="8455" width="4" style="531" customWidth="1"/>
    <col min="8456" max="8456" width="2.140625" style="531" bestFit="1" customWidth="1"/>
    <col min="8457" max="8457" width="12.7109375" style="531" customWidth="1"/>
    <col min="8458" max="8458" width="10.85546875" style="531" customWidth="1"/>
    <col min="8459" max="8697" width="9.140625" style="531"/>
    <col min="8698" max="8698" width="18.42578125" style="531" customWidth="1"/>
    <col min="8699" max="8699" width="5.7109375" style="531" customWidth="1"/>
    <col min="8700" max="8700" width="6.7109375" style="531" customWidth="1"/>
    <col min="8701" max="8701" width="3.140625" style="531" customWidth="1"/>
    <col min="8702" max="8703" width="5" style="531" customWidth="1"/>
    <col min="8704" max="8704" width="8.5703125" style="531" customWidth="1"/>
    <col min="8705" max="8705" width="8.7109375" style="531" customWidth="1"/>
    <col min="8706" max="8707" width="9.140625" style="531"/>
    <col min="8708" max="8708" width="12" style="531" customWidth="1"/>
    <col min="8709" max="8709" width="12.85546875" style="531" bestFit="1" customWidth="1"/>
    <col min="8710" max="8710" width="9.140625" style="531"/>
    <col min="8711" max="8711" width="4" style="531" customWidth="1"/>
    <col min="8712" max="8712" width="2.140625" style="531" bestFit="1" customWidth="1"/>
    <col min="8713" max="8713" width="12.7109375" style="531" customWidth="1"/>
    <col min="8714" max="8714" width="10.85546875" style="531" customWidth="1"/>
    <col min="8715" max="8953" width="9.140625" style="531"/>
    <col min="8954" max="8954" width="18.42578125" style="531" customWidth="1"/>
    <col min="8955" max="8955" width="5.7109375" style="531" customWidth="1"/>
    <col min="8956" max="8956" width="6.7109375" style="531" customWidth="1"/>
    <col min="8957" max="8957" width="3.140625" style="531" customWidth="1"/>
    <col min="8958" max="8959" width="5" style="531" customWidth="1"/>
    <col min="8960" max="8960" width="8.5703125" style="531" customWidth="1"/>
    <col min="8961" max="8961" width="8.7109375" style="531" customWidth="1"/>
    <col min="8962" max="8963" width="9.140625" style="531"/>
    <col min="8964" max="8964" width="12" style="531" customWidth="1"/>
    <col min="8965" max="8965" width="12.85546875" style="531" bestFit="1" customWidth="1"/>
    <col min="8966" max="8966" width="9.140625" style="531"/>
    <col min="8967" max="8967" width="4" style="531" customWidth="1"/>
    <col min="8968" max="8968" width="2.140625" style="531" bestFit="1" customWidth="1"/>
    <col min="8969" max="8969" width="12.7109375" style="531" customWidth="1"/>
    <col min="8970" max="8970" width="10.85546875" style="531" customWidth="1"/>
    <col min="8971" max="9209" width="9.140625" style="531"/>
    <col min="9210" max="9210" width="18.42578125" style="531" customWidth="1"/>
    <col min="9211" max="9211" width="5.7109375" style="531" customWidth="1"/>
    <col min="9212" max="9212" width="6.7109375" style="531" customWidth="1"/>
    <col min="9213" max="9213" width="3.140625" style="531" customWidth="1"/>
    <col min="9214" max="9215" width="5" style="531" customWidth="1"/>
    <col min="9216" max="9216" width="8.5703125" style="531" customWidth="1"/>
    <col min="9217" max="9217" width="8.7109375" style="531" customWidth="1"/>
    <col min="9218" max="9219" width="9.140625" style="531"/>
    <col min="9220" max="9220" width="12" style="531" customWidth="1"/>
    <col min="9221" max="9221" width="12.85546875" style="531" bestFit="1" customWidth="1"/>
    <col min="9222" max="9222" width="9.140625" style="531"/>
    <col min="9223" max="9223" width="4" style="531" customWidth="1"/>
    <col min="9224" max="9224" width="2.140625" style="531" bestFit="1" customWidth="1"/>
    <col min="9225" max="9225" width="12.7109375" style="531" customWidth="1"/>
    <col min="9226" max="9226" width="10.85546875" style="531" customWidth="1"/>
    <col min="9227" max="9465" width="9.140625" style="531"/>
    <col min="9466" max="9466" width="18.42578125" style="531" customWidth="1"/>
    <col min="9467" max="9467" width="5.7109375" style="531" customWidth="1"/>
    <col min="9468" max="9468" width="6.7109375" style="531" customWidth="1"/>
    <col min="9469" max="9469" width="3.140625" style="531" customWidth="1"/>
    <col min="9470" max="9471" width="5" style="531" customWidth="1"/>
    <col min="9472" max="9472" width="8.5703125" style="531" customWidth="1"/>
    <col min="9473" max="9473" width="8.7109375" style="531" customWidth="1"/>
    <col min="9474" max="9475" width="9.140625" style="531"/>
    <col min="9476" max="9476" width="12" style="531" customWidth="1"/>
    <col min="9477" max="9477" width="12.85546875" style="531" bestFit="1" customWidth="1"/>
    <col min="9478" max="9478" width="9.140625" style="531"/>
    <col min="9479" max="9479" width="4" style="531" customWidth="1"/>
    <col min="9480" max="9480" width="2.140625" style="531" bestFit="1" customWidth="1"/>
    <col min="9481" max="9481" width="12.7109375" style="531" customWidth="1"/>
    <col min="9482" max="9482" width="10.85546875" style="531" customWidth="1"/>
    <col min="9483" max="9721" width="9.140625" style="531"/>
    <col min="9722" max="9722" width="18.42578125" style="531" customWidth="1"/>
    <col min="9723" max="9723" width="5.7109375" style="531" customWidth="1"/>
    <col min="9724" max="9724" width="6.7109375" style="531" customWidth="1"/>
    <col min="9725" max="9725" width="3.140625" style="531" customWidth="1"/>
    <col min="9726" max="9727" width="5" style="531" customWidth="1"/>
    <col min="9728" max="9728" width="8.5703125" style="531" customWidth="1"/>
    <col min="9729" max="9729" width="8.7109375" style="531" customWidth="1"/>
    <col min="9730" max="9731" width="9.140625" style="531"/>
    <col min="9732" max="9732" width="12" style="531" customWidth="1"/>
    <col min="9733" max="9733" width="12.85546875" style="531" bestFit="1" customWidth="1"/>
    <col min="9734" max="9734" width="9.140625" style="531"/>
    <col min="9735" max="9735" width="4" style="531" customWidth="1"/>
    <col min="9736" max="9736" width="2.140625" style="531" bestFit="1" customWidth="1"/>
    <col min="9737" max="9737" width="12.7109375" style="531" customWidth="1"/>
    <col min="9738" max="9738" width="10.85546875" style="531" customWidth="1"/>
    <col min="9739" max="9977" width="9.140625" style="531"/>
    <col min="9978" max="9978" width="18.42578125" style="531" customWidth="1"/>
    <col min="9979" max="9979" width="5.7109375" style="531" customWidth="1"/>
    <col min="9980" max="9980" width="6.7109375" style="531" customWidth="1"/>
    <col min="9981" max="9981" width="3.140625" style="531" customWidth="1"/>
    <col min="9982" max="9983" width="5" style="531" customWidth="1"/>
    <col min="9984" max="9984" width="8.5703125" style="531" customWidth="1"/>
    <col min="9985" max="9985" width="8.7109375" style="531" customWidth="1"/>
    <col min="9986" max="9987" width="9.140625" style="531"/>
    <col min="9988" max="9988" width="12" style="531" customWidth="1"/>
    <col min="9989" max="9989" width="12.85546875" style="531" bestFit="1" customWidth="1"/>
    <col min="9990" max="9990" width="9.140625" style="531"/>
    <col min="9991" max="9991" width="4" style="531" customWidth="1"/>
    <col min="9992" max="9992" width="2.140625" style="531" bestFit="1" customWidth="1"/>
    <col min="9993" max="9993" width="12.7109375" style="531" customWidth="1"/>
    <col min="9994" max="9994" width="10.85546875" style="531" customWidth="1"/>
    <col min="9995" max="10233" width="9.140625" style="531"/>
    <col min="10234" max="10234" width="18.42578125" style="531" customWidth="1"/>
    <col min="10235" max="10235" width="5.7109375" style="531" customWidth="1"/>
    <col min="10236" max="10236" width="6.7109375" style="531" customWidth="1"/>
    <col min="10237" max="10237" width="3.140625" style="531" customWidth="1"/>
    <col min="10238" max="10239" width="5" style="531" customWidth="1"/>
    <col min="10240" max="10240" width="8.5703125" style="531" customWidth="1"/>
    <col min="10241" max="10241" width="8.7109375" style="531" customWidth="1"/>
    <col min="10242" max="10243" width="9.140625" style="531"/>
    <col min="10244" max="10244" width="12" style="531" customWidth="1"/>
    <col min="10245" max="10245" width="12.85546875" style="531" bestFit="1" customWidth="1"/>
    <col min="10246" max="10246" width="9.140625" style="531"/>
    <col min="10247" max="10247" width="4" style="531" customWidth="1"/>
    <col min="10248" max="10248" width="2.140625" style="531" bestFit="1" customWidth="1"/>
    <col min="10249" max="10249" width="12.7109375" style="531" customWidth="1"/>
    <col min="10250" max="10250" width="10.85546875" style="531" customWidth="1"/>
    <col min="10251" max="10489" width="9.140625" style="531"/>
    <col min="10490" max="10490" width="18.42578125" style="531" customWidth="1"/>
    <col min="10491" max="10491" width="5.7109375" style="531" customWidth="1"/>
    <col min="10492" max="10492" width="6.7109375" style="531" customWidth="1"/>
    <col min="10493" max="10493" width="3.140625" style="531" customWidth="1"/>
    <col min="10494" max="10495" width="5" style="531" customWidth="1"/>
    <col min="10496" max="10496" width="8.5703125" style="531" customWidth="1"/>
    <col min="10497" max="10497" width="8.7109375" style="531" customWidth="1"/>
    <col min="10498" max="10499" width="9.140625" style="531"/>
    <col min="10500" max="10500" width="12" style="531" customWidth="1"/>
    <col min="10501" max="10501" width="12.85546875" style="531" bestFit="1" customWidth="1"/>
    <col min="10502" max="10502" width="9.140625" style="531"/>
    <col min="10503" max="10503" width="4" style="531" customWidth="1"/>
    <col min="10504" max="10504" width="2.140625" style="531" bestFit="1" customWidth="1"/>
    <col min="10505" max="10505" width="12.7109375" style="531" customWidth="1"/>
    <col min="10506" max="10506" width="10.85546875" style="531" customWidth="1"/>
    <col min="10507" max="10745" width="9.140625" style="531"/>
    <col min="10746" max="10746" width="18.42578125" style="531" customWidth="1"/>
    <col min="10747" max="10747" width="5.7109375" style="531" customWidth="1"/>
    <col min="10748" max="10748" width="6.7109375" style="531" customWidth="1"/>
    <col min="10749" max="10749" width="3.140625" style="531" customWidth="1"/>
    <col min="10750" max="10751" width="5" style="531" customWidth="1"/>
    <col min="10752" max="10752" width="8.5703125" style="531" customWidth="1"/>
    <col min="10753" max="10753" width="8.7109375" style="531" customWidth="1"/>
    <col min="10754" max="10755" width="9.140625" style="531"/>
    <col min="10756" max="10756" width="12" style="531" customWidth="1"/>
    <col min="10757" max="10757" width="12.85546875" style="531" bestFit="1" customWidth="1"/>
    <col min="10758" max="10758" width="9.140625" style="531"/>
    <col min="10759" max="10759" width="4" style="531" customWidth="1"/>
    <col min="10760" max="10760" width="2.140625" style="531" bestFit="1" customWidth="1"/>
    <col min="10761" max="10761" width="12.7109375" style="531" customWidth="1"/>
    <col min="10762" max="10762" width="10.85546875" style="531" customWidth="1"/>
    <col min="10763" max="11001" width="9.140625" style="531"/>
    <col min="11002" max="11002" width="18.42578125" style="531" customWidth="1"/>
    <col min="11003" max="11003" width="5.7109375" style="531" customWidth="1"/>
    <col min="11004" max="11004" width="6.7109375" style="531" customWidth="1"/>
    <col min="11005" max="11005" width="3.140625" style="531" customWidth="1"/>
    <col min="11006" max="11007" width="5" style="531" customWidth="1"/>
    <col min="11008" max="11008" width="8.5703125" style="531" customWidth="1"/>
    <col min="11009" max="11009" width="8.7109375" style="531" customWidth="1"/>
    <col min="11010" max="11011" width="9.140625" style="531"/>
    <col min="11012" max="11012" width="12" style="531" customWidth="1"/>
    <col min="11013" max="11013" width="12.85546875" style="531" bestFit="1" customWidth="1"/>
    <col min="11014" max="11014" width="9.140625" style="531"/>
    <col min="11015" max="11015" width="4" style="531" customWidth="1"/>
    <col min="11016" max="11016" width="2.140625" style="531" bestFit="1" customWidth="1"/>
    <col min="11017" max="11017" width="12.7109375" style="531" customWidth="1"/>
    <col min="11018" max="11018" width="10.85546875" style="531" customWidth="1"/>
    <col min="11019" max="11257" width="9.140625" style="531"/>
    <col min="11258" max="11258" width="18.42578125" style="531" customWidth="1"/>
    <col min="11259" max="11259" width="5.7109375" style="531" customWidth="1"/>
    <col min="11260" max="11260" width="6.7109375" style="531" customWidth="1"/>
    <col min="11261" max="11261" width="3.140625" style="531" customWidth="1"/>
    <col min="11262" max="11263" width="5" style="531" customWidth="1"/>
    <col min="11264" max="11264" width="8.5703125" style="531" customWidth="1"/>
    <col min="11265" max="11265" width="8.7109375" style="531" customWidth="1"/>
    <col min="11266" max="11267" width="9.140625" style="531"/>
    <col min="11268" max="11268" width="12" style="531" customWidth="1"/>
    <col min="11269" max="11269" width="12.85546875" style="531" bestFit="1" customWidth="1"/>
    <col min="11270" max="11270" width="9.140625" style="531"/>
    <col min="11271" max="11271" width="4" style="531" customWidth="1"/>
    <col min="11272" max="11272" width="2.140625" style="531" bestFit="1" customWidth="1"/>
    <col min="11273" max="11273" width="12.7109375" style="531" customWidth="1"/>
    <col min="11274" max="11274" width="10.85546875" style="531" customWidth="1"/>
    <col min="11275" max="11513" width="9.140625" style="531"/>
    <col min="11514" max="11514" width="18.42578125" style="531" customWidth="1"/>
    <col min="11515" max="11515" width="5.7109375" style="531" customWidth="1"/>
    <col min="11516" max="11516" width="6.7109375" style="531" customWidth="1"/>
    <col min="11517" max="11517" width="3.140625" style="531" customWidth="1"/>
    <col min="11518" max="11519" width="5" style="531" customWidth="1"/>
    <col min="11520" max="11520" width="8.5703125" style="531" customWidth="1"/>
    <col min="11521" max="11521" width="8.7109375" style="531" customWidth="1"/>
    <col min="11522" max="11523" width="9.140625" style="531"/>
    <col min="11524" max="11524" width="12" style="531" customWidth="1"/>
    <col min="11525" max="11525" width="12.85546875" style="531" bestFit="1" customWidth="1"/>
    <col min="11526" max="11526" width="9.140625" style="531"/>
    <col min="11527" max="11527" width="4" style="531" customWidth="1"/>
    <col min="11528" max="11528" width="2.140625" style="531" bestFit="1" customWidth="1"/>
    <col min="11529" max="11529" width="12.7109375" style="531" customWidth="1"/>
    <col min="11530" max="11530" width="10.85546875" style="531" customWidth="1"/>
    <col min="11531" max="11769" width="9.140625" style="531"/>
    <col min="11770" max="11770" width="18.42578125" style="531" customWidth="1"/>
    <col min="11771" max="11771" width="5.7109375" style="531" customWidth="1"/>
    <col min="11772" max="11772" width="6.7109375" style="531" customWidth="1"/>
    <col min="11773" max="11773" width="3.140625" style="531" customWidth="1"/>
    <col min="11774" max="11775" width="5" style="531" customWidth="1"/>
    <col min="11776" max="11776" width="8.5703125" style="531" customWidth="1"/>
    <col min="11777" max="11777" width="8.7109375" style="531" customWidth="1"/>
    <col min="11778" max="11779" width="9.140625" style="531"/>
    <col min="11780" max="11780" width="12" style="531" customWidth="1"/>
    <col min="11781" max="11781" width="12.85546875" style="531" bestFit="1" customWidth="1"/>
    <col min="11782" max="11782" width="9.140625" style="531"/>
    <col min="11783" max="11783" width="4" style="531" customWidth="1"/>
    <col min="11784" max="11784" width="2.140625" style="531" bestFit="1" customWidth="1"/>
    <col min="11785" max="11785" width="12.7109375" style="531" customWidth="1"/>
    <col min="11786" max="11786" width="10.85546875" style="531" customWidth="1"/>
    <col min="11787" max="12025" width="9.140625" style="531"/>
    <col min="12026" max="12026" width="18.42578125" style="531" customWidth="1"/>
    <col min="12027" max="12027" width="5.7109375" style="531" customWidth="1"/>
    <col min="12028" max="12028" width="6.7109375" style="531" customWidth="1"/>
    <col min="12029" max="12029" width="3.140625" style="531" customWidth="1"/>
    <col min="12030" max="12031" width="5" style="531" customWidth="1"/>
    <col min="12032" max="12032" width="8.5703125" style="531" customWidth="1"/>
    <col min="12033" max="12033" width="8.7109375" style="531" customWidth="1"/>
    <col min="12034" max="12035" width="9.140625" style="531"/>
    <col min="12036" max="12036" width="12" style="531" customWidth="1"/>
    <col min="12037" max="12037" width="12.85546875" style="531" bestFit="1" customWidth="1"/>
    <col min="12038" max="12038" width="9.140625" style="531"/>
    <col min="12039" max="12039" width="4" style="531" customWidth="1"/>
    <col min="12040" max="12040" width="2.140625" style="531" bestFit="1" customWidth="1"/>
    <col min="12041" max="12041" width="12.7109375" style="531" customWidth="1"/>
    <col min="12042" max="12042" width="10.85546875" style="531" customWidth="1"/>
    <col min="12043" max="12281" width="9.140625" style="531"/>
    <col min="12282" max="12282" width="18.42578125" style="531" customWidth="1"/>
    <col min="12283" max="12283" width="5.7109375" style="531" customWidth="1"/>
    <col min="12284" max="12284" width="6.7109375" style="531" customWidth="1"/>
    <col min="12285" max="12285" width="3.140625" style="531" customWidth="1"/>
    <col min="12286" max="12287" width="5" style="531" customWidth="1"/>
    <col min="12288" max="12288" width="8.5703125" style="531" customWidth="1"/>
    <col min="12289" max="12289" width="8.7109375" style="531" customWidth="1"/>
    <col min="12290" max="12291" width="9.140625" style="531"/>
    <col min="12292" max="12292" width="12" style="531" customWidth="1"/>
    <col min="12293" max="12293" width="12.85546875" style="531" bestFit="1" customWidth="1"/>
    <col min="12294" max="12294" width="9.140625" style="531"/>
    <col min="12295" max="12295" width="4" style="531" customWidth="1"/>
    <col min="12296" max="12296" width="2.140625" style="531" bestFit="1" customWidth="1"/>
    <col min="12297" max="12297" width="12.7109375" style="531" customWidth="1"/>
    <col min="12298" max="12298" width="10.85546875" style="531" customWidth="1"/>
    <col min="12299" max="12537" width="9.140625" style="531"/>
    <col min="12538" max="12538" width="18.42578125" style="531" customWidth="1"/>
    <col min="12539" max="12539" width="5.7109375" style="531" customWidth="1"/>
    <col min="12540" max="12540" width="6.7109375" style="531" customWidth="1"/>
    <col min="12541" max="12541" width="3.140625" style="531" customWidth="1"/>
    <col min="12542" max="12543" width="5" style="531" customWidth="1"/>
    <col min="12544" max="12544" width="8.5703125" style="531" customWidth="1"/>
    <col min="12545" max="12545" width="8.7109375" style="531" customWidth="1"/>
    <col min="12546" max="12547" width="9.140625" style="531"/>
    <col min="12548" max="12548" width="12" style="531" customWidth="1"/>
    <col min="12549" max="12549" width="12.85546875" style="531" bestFit="1" customWidth="1"/>
    <col min="12550" max="12550" width="9.140625" style="531"/>
    <col min="12551" max="12551" width="4" style="531" customWidth="1"/>
    <col min="12552" max="12552" width="2.140625" style="531" bestFit="1" customWidth="1"/>
    <col min="12553" max="12553" width="12.7109375" style="531" customWidth="1"/>
    <col min="12554" max="12554" width="10.85546875" style="531" customWidth="1"/>
    <col min="12555" max="12793" width="9.140625" style="531"/>
    <col min="12794" max="12794" width="18.42578125" style="531" customWidth="1"/>
    <col min="12795" max="12795" width="5.7109375" style="531" customWidth="1"/>
    <col min="12796" max="12796" width="6.7109375" style="531" customWidth="1"/>
    <col min="12797" max="12797" width="3.140625" style="531" customWidth="1"/>
    <col min="12798" max="12799" width="5" style="531" customWidth="1"/>
    <col min="12800" max="12800" width="8.5703125" style="531" customWidth="1"/>
    <col min="12801" max="12801" width="8.7109375" style="531" customWidth="1"/>
    <col min="12802" max="12803" width="9.140625" style="531"/>
    <col min="12804" max="12804" width="12" style="531" customWidth="1"/>
    <col min="12805" max="12805" width="12.85546875" style="531" bestFit="1" customWidth="1"/>
    <col min="12806" max="12806" width="9.140625" style="531"/>
    <col min="12807" max="12807" width="4" style="531" customWidth="1"/>
    <col min="12808" max="12808" width="2.140625" style="531" bestFit="1" customWidth="1"/>
    <col min="12809" max="12809" width="12.7109375" style="531" customWidth="1"/>
    <col min="12810" max="12810" width="10.85546875" style="531" customWidth="1"/>
    <col min="12811" max="13049" width="9.140625" style="531"/>
    <col min="13050" max="13050" width="18.42578125" style="531" customWidth="1"/>
    <col min="13051" max="13051" width="5.7109375" style="531" customWidth="1"/>
    <col min="13052" max="13052" width="6.7109375" style="531" customWidth="1"/>
    <col min="13053" max="13053" width="3.140625" style="531" customWidth="1"/>
    <col min="13054" max="13055" width="5" style="531" customWidth="1"/>
    <col min="13056" max="13056" width="8.5703125" style="531" customWidth="1"/>
    <col min="13057" max="13057" width="8.7109375" style="531" customWidth="1"/>
    <col min="13058" max="13059" width="9.140625" style="531"/>
    <col min="13060" max="13060" width="12" style="531" customWidth="1"/>
    <col min="13061" max="13061" width="12.85546875" style="531" bestFit="1" customWidth="1"/>
    <col min="13062" max="13062" width="9.140625" style="531"/>
    <col min="13063" max="13063" width="4" style="531" customWidth="1"/>
    <col min="13064" max="13064" width="2.140625" style="531" bestFit="1" customWidth="1"/>
    <col min="13065" max="13065" width="12.7109375" style="531" customWidth="1"/>
    <col min="13066" max="13066" width="10.85546875" style="531" customWidth="1"/>
    <col min="13067" max="13305" width="9.140625" style="531"/>
    <col min="13306" max="13306" width="18.42578125" style="531" customWidth="1"/>
    <col min="13307" max="13307" width="5.7109375" style="531" customWidth="1"/>
    <col min="13308" max="13308" width="6.7109375" style="531" customWidth="1"/>
    <col min="13309" max="13309" width="3.140625" style="531" customWidth="1"/>
    <col min="13310" max="13311" width="5" style="531" customWidth="1"/>
    <col min="13312" max="13312" width="8.5703125" style="531" customWidth="1"/>
    <col min="13313" max="13313" width="8.7109375" style="531" customWidth="1"/>
    <col min="13314" max="13315" width="9.140625" style="531"/>
    <col min="13316" max="13316" width="12" style="531" customWidth="1"/>
    <col min="13317" max="13317" width="12.85546875" style="531" bestFit="1" customWidth="1"/>
    <col min="13318" max="13318" width="9.140625" style="531"/>
    <col min="13319" max="13319" width="4" style="531" customWidth="1"/>
    <col min="13320" max="13320" width="2.140625" style="531" bestFit="1" customWidth="1"/>
    <col min="13321" max="13321" width="12.7109375" style="531" customWidth="1"/>
    <col min="13322" max="13322" width="10.85546875" style="531" customWidth="1"/>
    <col min="13323" max="13561" width="9.140625" style="531"/>
    <col min="13562" max="13562" width="18.42578125" style="531" customWidth="1"/>
    <col min="13563" max="13563" width="5.7109375" style="531" customWidth="1"/>
    <col min="13564" max="13564" width="6.7109375" style="531" customWidth="1"/>
    <col min="13565" max="13565" width="3.140625" style="531" customWidth="1"/>
    <col min="13566" max="13567" width="5" style="531" customWidth="1"/>
    <col min="13568" max="13568" width="8.5703125" style="531" customWidth="1"/>
    <col min="13569" max="13569" width="8.7109375" style="531" customWidth="1"/>
    <col min="13570" max="13571" width="9.140625" style="531"/>
    <col min="13572" max="13572" width="12" style="531" customWidth="1"/>
    <col min="13573" max="13573" width="12.85546875" style="531" bestFit="1" customWidth="1"/>
    <col min="13574" max="13574" width="9.140625" style="531"/>
    <col min="13575" max="13575" width="4" style="531" customWidth="1"/>
    <col min="13576" max="13576" width="2.140625" style="531" bestFit="1" customWidth="1"/>
    <col min="13577" max="13577" width="12.7109375" style="531" customWidth="1"/>
    <col min="13578" max="13578" width="10.85546875" style="531" customWidth="1"/>
    <col min="13579" max="13817" width="9.140625" style="531"/>
    <col min="13818" max="13818" width="18.42578125" style="531" customWidth="1"/>
    <col min="13819" max="13819" width="5.7109375" style="531" customWidth="1"/>
    <col min="13820" max="13820" width="6.7109375" style="531" customWidth="1"/>
    <col min="13821" max="13821" width="3.140625" style="531" customWidth="1"/>
    <col min="13822" max="13823" width="5" style="531" customWidth="1"/>
    <col min="13824" max="13824" width="8.5703125" style="531" customWidth="1"/>
    <col min="13825" max="13825" width="8.7109375" style="531" customWidth="1"/>
    <col min="13826" max="13827" width="9.140625" style="531"/>
    <col min="13828" max="13828" width="12" style="531" customWidth="1"/>
    <col min="13829" max="13829" width="12.85546875" style="531" bestFit="1" customWidth="1"/>
    <col min="13830" max="13830" width="9.140625" style="531"/>
    <col min="13831" max="13831" width="4" style="531" customWidth="1"/>
    <col min="13832" max="13832" width="2.140625" style="531" bestFit="1" customWidth="1"/>
    <col min="13833" max="13833" width="12.7109375" style="531" customWidth="1"/>
    <col min="13834" max="13834" width="10.85546875" style="531" customWidth="1"/>
    <col min="13835" max="14073" width="9.140625" style="531"/>
    <col min="14074" max="14074" width="18.42578125" style="531" customWidth="1"/>
    <col min="14075" max="14075" width="5.7109375" style="531" customWidth="1"/>
    <col min="14076" max="14076" width="6.7109375" style="531" customWidth="1"/>
    <col min="14077" max="14077" width="3.140625" style="531" customWidth="1"/>
    <col min="14078" max="14079" width="5" style="531" customWidth="1"/>
    <col min="14080" max="14080" width="8.5703125" style="531" customWidth="1"/>
    <col min="14081" max="14081" width="8.7109375" style="531" customWidth="1"/>
    <col min="14082" max="14083" width="9.140625" style="531"/>
    <col min="14084" max="14084" width="12" style="531" customWidth="1"/>
    <col min="14085" max="14085" width="12.85546875" style="531" bestFit="1" customWidth="1"/>
    <col min="14086" max="14086" width="9.140625" style="531"/>
    <col min="14087" max="14087" width="4" style="531" customWidth="1"/>
    <col min="14088" max="14088" width="2.140625" style="531" bestFit="1" customWidth="1"/>
    <col min="14089" max="14089" width="12.7109375" style="531" customWidth="1"/>
    <col min="14090" max="14090" width="10.85546875" style="531" customWidth="1"/>
    <col min="14091" max="14329" width="9.140625" style="531"/>
    <col min="14330" max="14330" width="18.42578125" style="531" customWidth="1"/>
    <col min="14331" max="14331" width="5.7109375" style="531" customWidth="1"/>
    <col min="14332" max="14332" width="6.7109375" style="531" customWidth="1"/>
    <col min="14333" max="14333" width="3.140625" style="531" customWidth="1"/>
    <col min="14334" max="14335" width="5" style="531" customWidth="1"/>
    <col min="14336" max="14336" width="8.5703125" style="531" customWidth="1"/>
    <col min="14337" max="14337" width="8.7109375" style="531" customWidth="1"/>
    <col min="14338" max="14339" width="9.140625" style="531"/>
    <col min="14340" max="14340" width="12" style="531" customWidth="1"/>
    <col min="14341" max="14341" width="12.85546875" style="531" bestFit="1" customWidth="1"/>
    <col min="14342" max="14342" width="9.140625" style="531"/>
    <col min="14343" max="14343" width="4" style="531" customWidth="1"/>
    <col min="14344" max="14344" width="2.140625" style="531" bestFit="1" customWidth="1"/>
    <col min="14345" max="14345" width="12.7109375" style="531" customWidth="1"/>
    <col min="14346" max="14346" width="10.85546875" style="531" customWidth="1"/>
    <col min="14347" max="14585" width="9.140625" style="531"/>
    <col min="14586" max="14586" width="18.42578125" style="531" customWidth="1"/>
    <col min="14587" max="14587" width="5.7109375" style="531" customWidth="1"/>
    <col min="14588" max="14588" width="6.7109375" style="531" customWidth="1"/>
    <col min="14589" max="14589" width="3.140625" style="531" customWidth="1"/>
    <col min="14590" max="14591" width="5" style="531" customWidth="1"/>
    <col min="14592" max="14592" width="8.5703125" style="531" customWidth="1"/>
    <col min="14593" max="14593" width="8.7109375" style="531" customWidth="1"/>
    <col min="14594" max="14595" width="9.140625" style="531"/>
    <col min="14596" max="14596" width="12" style="531" customWidth="1"/>
    <col min="14597" max="14597" width="12.85546875" style="531" bestFit="1" customWidth="1"/>
    <col min="14598" max="14598" width="9.140625" style="531"/>
    <col min="14599" max="14599" width="4" style="531" customWidth="1"/>
    <col min="14600" max="14600" width="2.140625" style="531" bestFit="1" customWidth="1"/>
    <col min="14601" max="14601" width="12.7109375" style="531" customWidth="1"/>
    <col min="14602" max="14602" width="10.85546875" style="531" customWidth="1"/>
    <col min="14603" max="14841" width="9.140625" style="531"/>
    <col min="14842" max="14842" width="18.42578125" style="531" customWidth="1"/>
    <col min="14843" max="14843" width="5.7109375" style="531" customWidth="1"/>
    <col min="14844" max="14844" width="6.7109375" style="531" customWidth="1"/>
    <col min="14845" max="14845" width="3.140625" style="531" customWidth="1"/>
    <col min="14846" max="14847" width="5" style="531" customWidth="1"/>
    <col min="14848" max="14848" width="8.5703125" style="531" customWidth="1"/>
    <col min="14849" max="14849" width="8.7109375" style="531" customWidth="1"/>
    <col min="14850" max="14851" width="9.140625" style="531"/>
    <col min="14852" max="14852" width="12" style="531" customWidth="1"/>
    <col min="14853" max="14853" width="12.85546875" style="531" bestFit="1" customWidth="1"/>
    <col min="14854" max="14854" width="9.140625" style="531"/>
    <col min="14855" max="14855" width="4" style="531" customWidth="1"/>
    <col min="14856" max="14856" width="2.140625" style="531" bestFit="1" customWidth="1"/>
    <col min="14857" max="14857" width="12.7109375" style="531" customWidth="1"/>
    <col min="14858" max="14858" width="10.85546875" style="531" customWidth="1"/>
    <col min="14859" max="15097" width="9.140625" style="531"/>
    <col min="15098" max="15098" width="18.42578125" style="531" customWidth="1"/>
    <col min="15099" max="15099" width="5.7109375" style="531" customWidth="1"/>
    <col min="15100" max="15100" width="6.7109375" style="531" customWidth="1"/>
    <col min="15101" max="15101" width="3.140625" style="531" customWidth="1"/>
    <col min="15102" max="15103" width="5" style="531" customWidth="1"/>
    <col min="15104" max="15104" width="8.5703125" style="531" customWidth="1"/>
    <col min="15105" max="15105" width="8.7109375" style="531" customWidth="1"/>
    <col min="15106" max="15107" width="9.140625" style="531"/>
    <col min="15108" max="15108" width="12" style="531" customWidth="1"/>
    <col min="15109" max="15109" width="12.85546875" style="531" bestFit="1" customWidth="1"/>
    <col min="15110" max="15110" width="9.140625" style="531"/>
    <col min="15111" max="15111" width="4" style="531" customWidth="1"/>
    <col min="15112" max="15112" width="2.140625" style="531" bestFit="1" customWidth="1"/>
    <col min="15113" max="15113" width="12.7109375" style="531" customWidth="1"/>
    <col min="15114" max="15114" width="10.85546875" style="531" customWidth="1"/>
    <col min="15115" max="15353" width="9.140625" style="531"/>
    <col min="15354" max="15354" width="18.42578125" style="531" customWidth="1"/>
    <col min="15355" max="15355" width="5.7109375" style="531" customWidth="1"/>
    <col min="15356" max="15356" width="6.7109375" style="531" customWidth="1"/>
    <col min="15357" max="15357" width="3.140625" style="531" customWidth="1"/>
    <col min="15358" max="15359" width="5" style="531" customWidth="1"/>
    <col min="15360" max="15360" width="8.5703125" style="531" customWidth="1"/>
    <col min="15361" max="15361" width="8.7109375" style="531" customWidth="1"/>
    <col min="15362" max="15363" width="9.140625" style="531"/>
    <col min="15364" max="15364" width="12" style="531" customWidth="1"/>
    <col min="15365" max="15365" width="12.85546875" style="531" bestFit="1" customWidth="1"/>
    <col min="15366" max="15366" width="9.140625" style="531"/>
    <col min="15367" max="15367" width="4" style="531" customWidth="1"/>
    <col min="15368" max="15368" width="2.140625" style="531" bestFit="1" customWidth="1"/>
    <col min="15369" max="15369" width="12.7109375" style="531" customWidth="1"/>
    <col min="15370" max="15370" width="10.85546875" style="531" customWidth="1"/>
    <col min="15371" max="15609" width="9.140625" style="531"/>
    <col min="15610" max="15610" width="18.42578125" style="531" customWidth="1"/>
    <col min="15611" max="15611" width="5.7109375" style="531" customWidth="1"/>
    <col min="15612" max="15612" width="6.7109375" style="531" customWidth="1"/>
    <col min="15613" max="15613" width="3.140625" style="531" customWidth="1"/>
    <col min="15614" max="15615" width="5" style="531" customWidth="1"/>
    <col min="15616" max="15616" width="8.5703125" style="531" customWidth="1"/>
    <col min="15617" max="15617" width="8.7109375" style="531" customWidth="1"/>
    <col min="15618" max="15619" width="9.140625" style="531"/>
    <col min="15620" max="15620" width="12" style="531" customWidth="1"/>
    <col min="15621" max="15621" width="12.85546875" style="531" bestFit="1" customWidth="1"/>
    <col min="15622" max="15622" width="9.140625" style="531"/>
    <col min="15623" max="15623" width="4" style="531" customWidth="1"/>
    <col min="15624" max="15624" width="2.140625" style="531" bestFit="1" customWidth="1"/>
    <col min="15625" max="15625" width="12.7109375" style="531" customWidth="1"/>
    <col min="15626" max="15626" width="10.85546875" style="531" customWidth="1"/>
    <col min="15627" max="15865" width="9.140625" style="531"/>
    <col min="15866" max="15866" width="18.42578125" style="531" customWidth="1"/>
    <col min="15867" max="15867" width="5.7109375" style="531" customWidth="1"/>
    <col min="15868" max="15868" width="6.7109375" style="531" customWidth="1"/>
    <col min="15869" max="15869" width="3.140625" style="531" customWidth="1"/>
    <col min="15870" max="15871" width="5" style="531" customWidth="1"/>
    <col min="15872" max="15872" width="8.5703125" style="531" customWidth="1"/>
    <col min="15873" max="15873" width="8.7109375" style="531" customWidth="1"/>
    <col min="15874" max="15875" width="9.140625" style="531"/>
    <col min="15876" max="15876" width="12" style="531" customWidth="1"/>
    <col min="15877" max="15877" width="12.85546875" style="531" bestFit="1" customWidth="1"/>
    <col min="15878" max="15878" width="9.140625" style="531"/>
    <col min="15879" max="15879" width="4" style="531" customWidth="1"/>
    <col min="15880" max="15880" width="2.140625" style="531" bestFit="1" customWidth="1"/>
    <col min="15881" max="15881" width="12.7109375" style="531" customWidth="1"/>
    <col min="15882" max="15882" width="10.85546875" style="531" customWidth="1"/>
    <col min="15883" max="16121" width="9.140625" style="531"/>
    <col min="16122" max="16122" width="18.42578125" style="531" customWidth="1"/>
    <col min="16123" max="16123" width="5.7109375" style="531" customWidth="1"/>
    <col min="16124" max="16124" width="6.7109375" style="531" customWidth="1"/>
    <col min="16125" max="16125" width="3.140625" style="531" customWidth="1"/>
    <col min="16126" max="16127" width="5" style="531" customWidth="1"/>
    <col min="16128" max="16128" width="8.5703125" style="531" customWidth="1"/>
    <col min="16129" max="16129" width="8.7109375" style="531" customWidth="1"/>
    <col min="16130" max="16131" width="9.140625" style="531"/>
    <col min="16132" max="16132" width="12" style="531" customWidth="1"/>
    <col min="16133" max="16133" width="12.85546875" style="531" bestFit="1" customWidth="1"/>
    <col min="16134" max="16134" width="9.140625" style="531"/>
    <col min="16135" max="16135" width="4" style="531" customWidth="1"/>
    <col min="16136" max="16136" width="2.140625" style="531" bestFit="1" customWidth="1"/>
    <col min="16137" max="16137" width="12.7109375" style="531" customWidth="1"/>
    <col min="16138" max="16138" width="10.85546875" style="531" customWidth="1"/>
    <col min="16139" max="16384" width="9.140625" style="531"/>
  </cols>
  <sheetData>
    <row r="1" spans="1:12" ht="15" customHeight="1">
      <c r="A1" s="530" t="s">
        <v>61</v>
      </c>
      <c r="B1" s="530"/>
      <c r="C1" s="530"/>
      <c r="D1" s="530"/>
      <c r="E1" s="530"/>
      <c r="F1" s="530"/>
      <c r="G1" s="530"/>
      <c r="H1" s="530"/>
      <c r="I1" s="530"/>
      <c r="J1" s="530"/>
      <c r="K1" s="530"/>
      <c r="L1" s="530"/>
    </row>
    <row r="2" spans="1:12" ht="15" customHeight="1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</row>
    <row r="3" spans="1:12" ht="15" customHeight="1">
      <c r="A3" s="533" t="s">
        <v>145</v>
      </c>
      <c r="B3" s="534" t="s">
        <v>166</v>
      </c>
      <c r="C3" s="533"/>
      <c r="D3" s="533"/>
      <c r="E3" s="533" t="s">
        <v>146</v>
      </c>
      <c r="F3" s="535">
        <f>setm0</f>
        <v>0</v>
      </c>
      <c r="G3" s="535"/>
      <c r="H3" s="536" t="s">
        <v>22</v>
      </c>
      <c r="I3" s="533" t="s">
        <v>147</v>
      </c>
      <c r="J3" s="533">
        <f>rang</f>
        <v>1000</v>
      </c>
      <c r="K3" s="537" t="s">
        <v>22</v>
      </c>
      <c r="L3" s="538"/>
    </row>
    <row r="4" spans="1:12" ht="15" customHeight="1">
      <c r="A4" s="539" t="s">
        <v>148</v>
      </c>
      <c r="B4" s="539" t="s">
        <v>149</v>
      </c>
      <c r="C4" s="540" t="s">
        <v>150</v>
      </c>
      <c r="D4" s="541" t="s">
        <v>151</v>
      </c>
      <c r="E4" s="542"/>
      <c r="F4" s="543" t="s">
        <v>152</v>
      </c>
      <c r="G4" s="544"/>
      <c r="H4" s="539" t="s">
        <v>153</v>
      </c>
      <c r="I4" s="539" t="s">
        <v>154</v>
      </c>
      <c r="J4" s="540" t="s">
        <v>150</v>
      </c>
      <c r="K4" s="545" t="s">
        <v>151</v>
      </c>
      <c r="L4" s="539" t="s">
        <v>155</v>
      </c>
    </row>
    <row r="5" spans="1:12" ht="15" customHeight="1">
      <c r="A5" s="546"/>
      <c r="B5" s="546"/>
      <c r="C5" s="547" t="s">
        <v>156</v>
      </c>
      <c r="D5" s="548" t="s">
        <v>168</v>
      </c>
      <c r="E5" s="549"/>
      <c r="F5" s="550"/>
      <c r="G5" s="551"/>
      <c r="H5" s="546"/>
      <c r="I5" s="546"/>
      <c r="J5" s="547" t="s">
        <v>156</v>
      </c>
      <c r="K5" s="547" t="s">
        <v>168</v>
      </c>
      <c r="L5" s="546"/>
    </row>
    <row r="6" spans="1:12" ht="15" customHeight="1">
      <c r="A6" s="552" t="s">
        <v>205</v>
      </c>
      <c r="B6" s="553" t="s">
        <v>2</v>
      </c>
      <c r="C6" s="547"/>
      <c r="D6" s="554">
        <f>setm0*10^-6</f>
        <v>0</v>
      </c>
      <c r="E6" s="538"/>
      <c r="F6" s="541" t="s">
        <v>159</v>
      </c>
      <c r="G6" s="542"/>
      <c r="H6" s="555">
        <f t="shared" ref="H6:H7" si="0">SQRT(3)</f>
        <v>1.7320508075688772</v>
      </c>
      <c r="I6" s="540">
        <v>1</v>
      </c>
      <c r="J6" s="547"/>
      <c r="K6" s="540">
        <f t="shared" ref="K6:K8" si="1">D6*I6/H6</f>
        <v>0</v>
      </c>
      <c r="L6" s="540" t="s">
        <v>158</v>
      </c>
    </row>
    <row r="7" spans="1:12" ht="15" customHeight="1">
      <c r="A7" s="552" t="s">
        <v>206</v>
      </c>
      <c r="B7" s="540" t="s">
        <v>160</v>
      </c>
      <c r="C7" s="540"/>
      <c r="D7" s="556">
        <f>resuuc/2</f>
        <v>5.0000000000000001E-4</v>
      </c>
      <c r="E7" s="557"/>
      <c r="F7" s="541" t="s">
        <v>159</v>
      </c>
      <c r="G7" s="542"/>
      <c r="H7" s="555">
        <f t="shared" si="0"/>
        <v>1.7320508075688772</v>
      </c>
      <c r="I7" s="540">
        <v>1</v>
      </c>
      <c r="J7" s="540"/>
      <c r="K7" s="540">
        <f t="shared" si="1"/>
        <v>2.886751345948129E-4</v>
      </c>
      <c r="L7" s="540" t="s">
        <v>158</v>
      </c>
    </row>
    <row r="8" spans="1:12" ht="15" customHeight="1">
      <c r="A8" s="552" t="s">
        <v>207</v>
      </c>
      <c r="B8" s="540" t="s">
        <v>161</v>
      </c>
      <c r="C8" s="540"/>
      <c r="D8" s="554">
        <f>uucrep0</f>
        <v>0</v>
      </c>
      <c r="E8" s="557"/>
      <c r="F8" s="541" t="s">
        <v>157</v>
      </c>
      <c r="G8" s="542"/>
      <c r="H8" s="547">
        <v>1</v>
      </c>
      <c r="I8" s="540">
        <v>1</v>
      </c>
      <c r="J8" s="540"/>
      <c r="K8" s="540">
        <f t="shared" si="1"/>
        <v>0</v>
      </c>
      <c r="L8" s="540">
        <f>4-1</f>
        <v>3</v>
      </c>
    </row>
    <row r="9" spans="1:12" ht="15" customHeight="1">
      <c r="A9" s="552"/>
      <c r="B9" s="540"/>
      <c r="C9" s="540"/>
      <c r="D9" s="558"/>
      <c r="E9" s="559"/>
      <c r="F9" s="541"/>
      <c r="G9" s="542"/>
      <c r="H9" s="555"/>
      <c r="I9" s="540"/>
      <c r="J9" s="540"/>
      <c r="K9" s="540"/>
      <c r="L9" s="540"/>
    </row>
    <row r="10" spans="1:12" ht="15" customHeight="1">
      <c r="A10" s="552"/>
      <c r="B10" s="540"/>
      <c r="C10" s="540"/>
      <c r="D10" s="558"/>
      <c r="E10" s="559"/>
      <c r="F10" s="541"/>
      <c r="G10" s="542"/>
      <c r="H10" s="547"/>
      <c r="I10" s="540"/>
      <c r="J10" s="540"/>
      <c r="K10" s="540"/>
      <c r="L10" s="540"/>
    </row>
    <row r="11" spans="1:12" ht="15" customHeight="1">
      <c r="A11" s="552"/>
      <c r="B11" s="540"/>
      <c r="C11" s="540"/>
      <c r="D11" s="558"/>
      <c r="E11" s="559"/>
      <c r="F11" s="541"/>
      <c r="G11" s="542"/>
      <c r="H11" s="547"/>
      <c r="I11" s="540"/>
      <c r="J11" s="540"/>
      <c r="K11" s="540"/>
      <c r="L11" s="540"/>
    </row>
    <row r="12" spans="1:12" ht="15" customHeight="1">
      <c r="A12" s="552"/>
      <c r="B12" s="540"/>
      <c r="C12" s="540"/>
      <c r="D12" s="558"/>
      <c r="E12" s="559"/>
      <c r="F12" s="541"/>
      <c r="G12" s="542"/>
      <c r="H12" s="555"/>
      <c r="I12" s="540"/>
      <c r="J12" s="540"/>
      <c r="K12" s="540"/>
      <c r="L12" s="540"/>
    </row>
    <row r="13" spans="1:12" ht="15" customHeight="1">
      <c r="A13" s="552"/>
      <c r="B13" s="540"/>
      <c r="C13" s="540"/>
      <c r="D13" s="558"/>
      <c r="E13" s="559"/>
      <c r="F13" s="541"/>
      <c r="G13" s="542"/>
      <c r="H13" s="555"/>
      <c r="I13" s="540"/>
      <c r="J13" s="540"/>
      <c r="K13" s="540"/>
      <c r="L13" s="540"/>
    </row>
    <row r="14" spans="1:12" ht="15" customHeight="1">
      <c r="A14" s="552"/>
      <c r="B14" s="540"/>
      <c r="C14" s="540"/>
      <c r="D14" s="558"/>
      <c r="E14" s="559"/>
      <c r="F14" s="541"/>
      <c r="G14" s="542"/>
      <c r="H14" s="555"/>
      <c r="I14" s="540"/>
      <c r="J14" s="540"/>
      <c r="K14" s="540"/>
      <c r="L14" s="540"/>
    </row>
    <row r="15" spans="1:12" ht="15" customHeight="1">
      <c r="A15" s="552" t="s">
        <v>5</v>
      </c>
      <c r="B15" s="540" t="s">
        <v>162</v>
      </c>
      <c r="C15" s="560"/>
      <c r="D15" s="561"/>
      <c r="E15" s="561"/>
      <c r="F15" s="562" t="str">
        <f>IF(G16=2,"Normal","T-Distibution")</f>
        <v>T-Distibution</v>
      </c>
      <c r="G15" s="563"/>
      <c r="H15" s="560"/>
      <c r="I15" s="564"/>
      <c r="J15" s="540"/>
      <c r="K15" s="540">
        <f>SQRT(SUMSQ(K6:K14))</f>
        <v>2.886751345948129E-4</v>
      </c>
      <c r="L15" s="565">
        <f>IF(K17="",L7,K17)</f>
        <v>3.0000000000000004</v>
      </c>
    </row>
    <row r="16" spans="1:12" ht="15" customHeight="1">
      <c r="A16" s="540" t="s">
        <v>163</v>
      </c>
      <c r="B16" s="540" t="s">
        <v>164</v>
      </c>
      <c r="C16" s="566"/>
      <c r="D16" s="567"/>
      <c r="E16" s="567"/>
      <c r="F16" s="568" t="s">
        <v>165</v>
      </c>
      <c r="G16" s="569">
        <f>MAX(F17:I17)</f>
        <v>3.31</v>
      </c>
      <c r="H16" s="566"/>
      <c r="I16" s="570"/>
      <c r="J16" s="540"/>
      <c r="K16" s="571">
        <f>ROUNDUP((K15*G16),5)</f>
        <v>9.6000000000000002E-4</v>
      </c>
      <c r="L16" s="565">
        <f>IF(K17="",L7,K17)</f>
        <v>3.0000000000000004</v>
      </c>
    </row>
    <row r="17" spans="1:12" ht="15" customHeight="1">
      <c r="C17" s="572"/>
      <c r="D17" s="572"/>
      <c r="E17" s="573"/>
      <c r="F17" s="574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574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574" t="str">
        <f>IF(AND(K17&gt;=25,K17&lt;30),2.11, IF(AND(K17&gt;=30,K17&lt;35),2.09, IF(AND(K17&gt;=35,K17&lt;40),2.07, IF(AND(K17&gt;=40,K17&lt;45),2.06, IF(AND(K17&gt;=45,K17&lt;50),2.06,"")))))</f>
        <v/>
      </c>
      <c r="I17" s="574" t="str">
        <f>IF(AND(K17&gt;=50,K17&lt;60),2.05, IF(AND(K17&gt;=60,K17&lt;80),2.04, IF(AND(K17&gt;=80,K17&lt;100),2.03, IF(K17=100,2.02,IF(K17&gt;100,2," ")))))</f>
        <v xml:space="preserve"> </v>
      </c>
      <c r="J17" s="575"/>
      <c r="K17" s="575">
        <f>IF(K7*2&gt;=K15,(K15^4*3)/K7^4,"")</f>
        <v>3.0000000000000004</v>
      </c>
      <c r="L17" s="576"/>
    </row>
    <row r="18" spans="1:12" ht="15" customHeight="1">
      <c r="A18" s="533" t="s">
        <v>145</v>
      </c>
      <c r="B18" s="534" t="s">
        <v>166</v>
      </c>
      <c r="C18" s="533"/>
      <c r="D18" s="533"/>
      <c r="E18" s="533" t="s">
        <v>146</v>
      </c>
      <c r="F18" s="535">
        <f>setm1</f>
        <v>100</v>
      </c>
      <c r="G18" s="535"/>
      <c r="H18" s="536" t="s">
        <v>22</v>
      </c>
      <c r="I18" s="533" t="s">
        <v>147</v>
      </c>
      <c r="J18" s="533">
        <f>rang</f>
        <v>1000</v>
      </c>
      <c r="K18" s="537" t="s">
        <v>22</v>
      </c>
      <c r="L18" s="538"/>
    </row>
    <row r="19" spans="1:12" ht="15" customHeight="1">
      <c r="A19" s="539" t="s">
        <v>148</v>
      </c>
      <c r="B19" s="539" t="s">
        <v>149</v>
      </c>
      <c r="C19" s="540" t="s">
        <v>150</v>
      </c>
      <c r="D19" s="541" t="s">
        <v>151</v>
      </c>
      <c r="E19" s="542"/>
      <c r="F19" s="543" t="s">
        <v>152</v>
      </c>
      <c r="G19" s="544"/>
      <c r="H19" s="539" t="s">
        <v>153</v>
      </c>
      <c r="I19" s="539" t="s">
        <v>154</v>
      </c>
      <c r="J19" s="540" t="s">
        <v>150</v>
      </c>
      <c r="K19" s="545" t="s">
        <v>151</v>
      </c>
      <c r="L19" s="539" t="s">
        <v>155</v>
      </c>
    </row>
    <row r="20" spans="1:12" ht="15" customHeight="1">
      <c r="A20" s="546"/>
      <c r="B20" s="546"/>
      <c r="C20" s="547" t="s">
        <v>156</v>
      </c>
      <c r="D20" s="548" t="s">
        <v>168</v>
      </c>
      <c r="E20" s="549"/>
      <c r="F20" s="550"/>
      <c r="G20" s="551"/>
      <c r="H20" s="546"/>
      <c r="I20" s="546"/>
      <c r="J20" s="547" t="s">
        <v>156</v>
      </c>
      <c r="K20" s="547" t="s">
        <v>168</v>
      </c>
      <c r="L20" s="546"/>
    </row>
    <row r="21" spans="1:12" ht="15" customHeight="1">
      <c r="A21" s="552" t="s">
        <v>205</v>
      </c>
      <c r="B21" s="553" t="s">
        <v>2</v>
      </c>
      <c r="C21" s="547"/>
      <c r="D21" s="554">
        <f>setm1*10^-6</f>
        <v>9.9999999999999991E-5</v>
      </c>
      <c r="E21" s="538"/>
      <c r="F21" s="541" t="s">
        <v>159</v>
      </c>
      <c r="G21" s="542"/>
      <c r="H21" s="555">
        <f t="shared" ref="H21:H22" si="2">SQRT(3)</f>
        <v>1.7320508075688772</v>
      </c>
      <c r="I21" s="540">
        <v>1</v>
      </c>
      <c r="J21" s="547"/>
      <c r="K21" s="540">
        <f t="shared" ref="K21:K23" si="3">D21*I21/H21</f>
        <v>5.7735026918962572E-5</v>
      </c>
      <c r="L21" s="540" t="s">
        <v>158</v>
      </c>
    </row>
    <row r="22" spans="1:12" ht="15" customHeight="1">
      <c r="A22" s="552" t="s">
        <v>206</v>
      </c>
      <c r="B22" s="540" t="s">
        <v>160</v>
      </c>
      <c r="C22" s="540"/>
      <c r="D22" s="556">
        <f>resuuc/2</f>
        <v>5.0000000000000001E-4</v>
      </c>
      <c r="E22" s="557"/>
      <c r="F22" s="541" t="s">
        <v>159</v>
      </c>
      <c r="G22" s="542"/>
      <c r="H22" s="555">
        <f t="shared" si="2"/>
        <v>1.7320508075688772</v>
      </c>
      <c r="I22" s="540">
        <v>1</v>
      </c>
      <c r="J22" s="540"/>
      <c r="K22" s="540">
        <f t="shared" si="3"/>
        <v>2.886751345948129E-4</v>
      </c>
      <c r="L22" s="540" t="s">
        <v>158</v>
      </c>
    </row>
    <row r="23" spans="1:12" ht="15" customHeight="1">
      <c r="A23" s="552" t="s">
        <v>207</v>
      </c>
      <c r="B23" s="540" t="s">
        <v>161</v>
      </c>
      <c r="C23" s="540"/>
      <c r="D23" s="554">
        <f>uucrep1</f>
        <v>0</v>
      </c>
      <c r="E23" s="557"/>
      <c r="F23" s="541" t="s">
        <v>157</v>
      </c>
      <c r="G23" s="542"/>
      <c r="H23" s="547">
        <v>1</v>
      </c>
      <c r="I23" s="540">
        <v>1</v>
      </c>
      <c r="J23" s="540"/>
      <c r="K23" s="540">
        <f t="shared" si="3"/>
        <v>0</v>
      </c>
      <c r="L23" s="540">
        <f>4-1</f>
        <v>3</v>
      </c>
    </row>
    <row r="24" spans="1:12" ht="15" customHeight="1">
      <c r="A24" s="552"/>
      <c r="B24" s="540"/>
      <c r="C24" s="540"/>
      <c r="D24" s="558"/>
      <c r="E24" s="559"/>
      <c r="F24" s="541"/>
      <c r="G24" s="542"/>
      <c r="H24" s="555"/>
      <c r="I24" s="540"/>
      <c r="J24" s="540"/>
      <c r="K24" s="540"/>
      <c r="L24" s="540"/>
    </row>
    <row r="25" spans="1:12" ht="15" customHeight="1">
      <c r="A25" s="552"/>
      <c r="B25" s="540"/>
      <c r="C25" s="540"/>
      <c r="D25" s="558"/>
      <c r="E25" s="559"/>
      <c r="F25" s="541"/>
      <c r="G25" s="542"/>
      <c r="H25" s="547"/>
      <c r="I25" s="540"/>
      <c r="J25" s="540"/>
      <c r="K25" s="540"/>
      <c r="L25" s="540"/>
    </row>
    <row r="26" spans="1:12" ht="15" customHeight="1">
      <c r="A26" s="552"/>
      <c r="B26" s="540"/>
      <c r="C26" s="540"/>
      <c r="D26" s="558"/>
      <c r="E26" s="559"/>
      <c r="F26" s="541"/>
      <c r="G26" s="542"/>
      <c r="H26" s="547"/>
      <c r="I26" s="540"/>
      <c r="J26" s="540"/>
      <c r="K26" s="540"/>
      <c r="L26" s="540"/>
    </row>
    <row r="27" spans="1:12" ht="15" customHeight="1">
      <c r="A27" s="552"/>
      <c r="B27" s="540"/>
      <c r="C27" s="540"/>
      <c r="D27" s="558"/>
      <c r="E27" s="559"/>
      <c r="F27" s="541"/>
      <c r="G27" s="542"/>
      <c r="H27" s="555"/>
      <c r="I27" s="540"/>
      <c r="J27" s="540"/>
      <c r="K27" s="540"/>
      <c r="L27" s="540"/>
    </row>
    <row r="28" spans="1:12" ht="15" customHeight="1">
      <c r="A28" s="552"/>
      <c r="B28" s="540"/>
      <c r="C28" s="540"/>
      <c r="D28" s="558"/>
      <c r="E28" s="559"/>
      <c r="F28" s="541"/>
      <c r="G28" s="542"/>
      <c r="H28" s="555"/>
      <c r="I28" s="540"/>
      <c r="J28" s="540"/>
      <c r="K28" s="540"/>
      <c r="L28" s="540"/>
    </row>
    <row r="29" spans="1:12" ht="15" customHeight="1">
      <c r="A29" s="552"/>
      <c r="B29" s="540"/>
      <c r="C29" s="540"/>
      <c r="D29" s="558"/>
      <c r="E29" s="559"/>
      <c r="F29" s="541"/>
      <c r="G29" s="542"/>
      <c r="H29" s="555"/>
      <c r="I29" s="540"/>
      <c r="J29" s="540"/>
      <c r="K29" s="540"/>
      <c r="L29" s="540"/>
    </row>
    <row r="30" spans="1:12" ht="15" customHeight="1">
      <c r="A30" s="552" t="s">
        <v>5</v>
      </c>
      <c r="B30" s="540" t="s">
        <v>162</v>
      </c>
      <c r="C30" s="560"/>
      <c r="D30" s="561"/>
      <c r="E30" s="561"/>
      <c r="F30" s="562" t="str">
        <f>IF(G31=2,"Normal","T-Distibution")</f>
        <v>T-Distibution</v>
      </c>
      <c r="G30" s="563"/>
      <c r="H30" s="560"/>
      <c r="I30" s="564"/>
      <c r="J30" s="540"/>
      <c r="K30" s="540">
        <f>SQRT(SUMSQ(K21:K29))</f>
        <v>2.9439202887759491E-4</v>
      </c>
      <c r="L30" s="565">
        <f>IF(K32="",L22,K32)</f>
        <v>3.2448000000000001</v>
      </c>
    </row>
    <row r="31" spans="1:12" ht="15" customHeight="1">
      <c r="A31" s="540" t="s">
        <v>163</v>
      </c>
      <c r="B31" s="540" t="s">
        <v>164</v>
      </c>
      <c r="C31" s="566"/>
      <c r="D31" s="567"/>
      <c r="E31" s="567"/>
      <c r="F31" s="568" t="s">
        <v>165</v>
      </c>
      <c r="G31" s="569">
        <f>MAX(F32:I32)</f>
        <v>3.31</v>
      </c>
      <c r="H31" s="566"/>
      <c r="I31" s="570"/>
      <c r="J31" s="540"/>
      <c r="K31" s="571">
        <f>ROUNDUP((K30*G31),5)</f>
        <v>9.7999999999999997E-4</v>
      </c>
      <c r="L31" s="565">
        <f>IF(K32="",L22,K32)</f>
        <v>3.2448000000000001</v>
      </c>
    </row>
    <row r="32" spans="1:12" ht="15" customHeight="1">
      <c r="C32" s="572"/>
      <c r="D32" s="572"/>
      <c r="E32" s="573"/>
      <c r="F32" s="574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574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574" t="str">
        <f>IF(AND(K32&gt;=25,K32&lt;30),2.11, IF(AND(K32&gt;=30,K32&lt;35),2.09, IF(AND(K32&gt;=35,K32&lt;40),2.07, IF(AND(K32&gt;=40,K32&lt;45),2.06, IF(AND(K32&gt;=45,K32&lt;50),2.06,"")))))</f>
        <v/>
      </c>
      <c r="I32" s="574" t="str">
        <f>IF(AND(K32&gt;=50,K32&lt;60),2.05, IF(AND(K32&gt;=60,K32&lt;80),2.04, IF(AND(K32&gt;=80,K32&lt;100),2.03, IF(K32=100,2.02,IF(K32&gt;100,2," ")))))</f>
        <v xml:space="preserve"> </v>
      </c>
      <c r="J32" s="575"/>
      <c r="K32" s="575">
        <f>IF(K22*2&gt;=K30,(K30^4*3)/K22^4,"")</f>
        <v>3.2448000000000001</v>
      </c>
      <c r="L32" s="576"/>
    </row>
    <row r="33" spans="1:12" ht="15" customHeight="1">
      <c r="A33" s="533" t="s">
        <v>145</v>
      </c>
      <c r="B33" s="534" t="s">
        <v>166</v>
      </c>
      <c r="C33" s="533"/>
      <c r="D33" s="533"/>
      <c r="E33" s="533" t="s">
        <v>146</v>
      </c>
      <c r="F33" s="535">
        <f>setm2</f>
        <v>200</v>
      </c>
      <c r="G33" s="535"/>
      <c r="H33" s="536" t="s">
        <v>22</v>
      </c>
      <c r="I33" s="533" t="s">
        <v>147</v>
      </c>
      <c r="J33" s="533">
        <f>rang</f>
        <v>1000</v>
      </c>
      <c r="K33" s="537" t="s">
        <v>22</v>
      </c>
      <c r="L33" s="538"/>
    </row>
    <row r="34" spans="1:12" ht="15" customHeight="1">
      <c r="A34" s="539" t="s">
        <v>148</v>
      </c>
      <c r="B34" s="539" t="s">
        <v>149</v>
      </c>
      <c r="C34" s="540" t="s">
        <v>150</v>
      </c>
      <c r="D34" s="541" t="s">
        <v>151</v>
      </c>
      <c r="E34" s="542"/>
      <c r="F34" s="543" t="s">
        <v>152</v>
      </c>
      <c r="G34" s="544"/>
      <c r="H34" s="539" t="s">
        <v>153</v>
      </c>
      <c r="I34" s="539" t="s">
        <v>154</v>
      </c>
      <c r="J34" s="540" t="s">
        <v>150</v>
      </c>
      <c r="K34" s="545" t="s">
        <v>151</v>
      </c>
      <c r="L34" s="539" t="s">
        <v>155</v>
      </c>
    </row>
    <row r="35" spans="1:12" ht="15" customHeight="1">
      <c r="A35" s="546"/>
      <c r="B35" s="546"/>
      <c r="C35" s="547" t="s">
        <v>156</v>
      </c>
      <c r="D35" s="548" t="s">
        <v>168</v>
      </c>
      <c r="E35" s="549"/>
      <c r="F35" s="550"/>
      <c r="G35" s="551"/>
      <c r="H35" s="546"/>
      <c r="I35" s="546"/>
      <c r="J35" s="547" t="s">
        <v>156</v>
      </c>
      <c r="K35" s="547" t="s">
        <v>168</v>
      </c>
      <c r="L35" s="546"/>
    </row>
    <row r="36" spans="1:12" ht="15" customHeight="1">
      <c r="A36" s="552" t="s">
        <v>205</v>
      </c>
      <c r="B36" s="553" t="s">
        <v>2</v>
      </c>
      <c r="C36" s="547"/>
      <c r="D36" s="554">
        <f>setm2*10^-6</f>
        <v>1.9999999999999998E-4</v>
      </c>
      <c r="E36" s="538"/>
      <c r="F36" s="541" t="s">
        <v>159</v>
      </c>
      <c r="G36" s="542"/>
      <c r="H36" s="555">
        <f t="shared" ref="H36:H37" si="4">SQRT(3)</f>
        <v>1.7320508075688772</v>
      </c>
      <c r="I36" s="540">
        <v>1</v>
      </c>
      <c r="J36" s="547"/>
      <c r="K36" s="540">
        <f t="shared" ref="K36:K38" si="5">D36*I36/H36</f>
        <v>1.1547005383792514E-4</v>
      </c>
      <c r="L36" s="540" t="s">
        <v>158</v>
      </c>
    </row>
    <row r="37" spans="1:12" ht="15" customHeight="1">
      <c r="A37" s="552" t="s">
        <v>206</v>
      </c>
      <c r="B37" s="540" t="s">
        <v>160</v>
      </c>
      <c r="C37" s="540"/>
      <c r="D37" s="556">
        <f>resuuc/2</f>
        <v>5.0000000000000001E-4</v>
      </c>
      <c r="E37" s="557"/>
      <c r="F37" s="541" t="s">
        <v>159</v>
      </c>
      <c r="G37" s="542"/>
      <c r="H37" s="555">
        <f t="shared" si="4"/>
        <v>1.7320508075688772</v>
      </c>
      <c r="I37" s="540">
        <v>1</v>
      </c>
      <c r="J37" s="540"/>
      <c r="K37" s="540">
        <f t="shared" si="5"/>
        <v>2.886751345948129E-4</v>
      </c>
      <c r="L37" s="540" t="s">
        <v>158</v>
      </c>
    </row>
    <row r="38" spans="1:12" ht="15" customHeight="1">
      <c r="A38" s="552" t="s">
        <v>207</v>
      </c>
      <c r="B38" s="540" t="s">
        <v>161</v>
      </c>
      <c r="C38" s="540"/>
      <c r="D38" s="554">
        <f>uucrep1</f>
        <v>0</v>
      </c>
      <c r="E38" s="557"/>
      <c r="F38" s="541" t="s">
        <v>157</v>
      </c>
      <c r="G38" s="542"/>
      <c r="H38" s="547">
        <v>1</v>
      </c>
      <c r="I38" s="540">
        <v>1</v>
      </c>
      <c r="J38" s="540"/>
      <c r="K38" s="540">
        <f t="shared" si="5"/>
        <v>0</v>
      </c>
      <c r="L38" s="540">
        <f>4-1</f>
        <v>3</v>
      </c>
    </row>
    <row r="39" spans="1:12" ht="15" customHeight="1">
      <c r="A39" s="552"/>
      <c r="B39" s="540"/>
      <c r="C39" s="540"/>
      <c r="D39" s="558"/>
      <c r="E39" s="559"/>
      <c r="F39" s="541"/>
      <c r="G39" s="542"/>
      <c r="H39" s="555"/>
      <c r="I39" s="540"/>
      <c r="J39" s="540"/>
      <c r="K39" s="540"/>
      <c r="L39" s="540"/>
    </row>
    <row r="40" spans="1:12" ht="15" customHeight="1">
      <c r="A40" s="552"/>
      <c r="B40" s="540"/>
      <c r="C40" s="540"/>
      <c r="D40" s="558"/>
      <c r="E40" s="559"/>
      <c r="F40" s="541"/>
      <c r="G40" s="542"/>
      <c r="H40" s="547"/>
      <c r="I40" s="540"/>
      <c r="J40" s="540"/>
      <c r="K40" s="540"/>
      <c r="L40" s="540"/>
    </row>
    <row r="41" spans="1:12" ht="15" customHeight="1">
      <c r="A41" s="552"/>
      <c r="B41" s="540"/>
      <c r="C41" s="540"/>
      <c r="D41" s="558"/>
      <c r="E41" s="559"/>
      <c r="F41" s="541"/>
      <c r="G41" s="542"/>
      <c r="H41" s="547"/>
      <c r="I41" s="540"/>
      <c r="J41" s="540"/>
      <c r="K41" s="540"/>
      <c r="L41" s="540"/>
    </row>
    <row r="42" spans="1:12" ht="15" customHeight="1">
      <c r="A42" s="552"/>
      <c r="B42" s="540"/>
      <c r="C42" s="540"/>
      <c r="D42" s="558"/>
      <c r="E42" s="559"/>
      <c r="F42" s="541"/>
      <c r="G42" s="542"/>
      <c r="H42" s="555"/>
      <c r="I42" s="540"/>
      <c r="J42" s="540"/>
      <c r="K42" s="540"/>
      <c r="L42" s="540"/>
    </row>
    <row r="43" spans="1:12" ht="15" customHeight="1">
      <c r="A43" s="552"/>
      <c r="B43" s="540"/>
      <c r="C43" s="540"/>
      <c r="D43" s="558"/>
      <c r="E43" s="559"/>
      <c r="F43" s="541"/>
      <c r="G43" s="542"/>
      <c r="H43" s="555"/>
      <c r="I43" s="540"/>
      <c r="J43" s="540"/>
      <c r="K43" s="540"/>
      <c r="L43" s="540"/>
    </row>
    <row r="44" spans="1:12" ht="15" customHeight="1">
      <c r="A44" s="552"/>
      <c r="B44" s="540"/>
      <c r="C44" s="540"/>
      <c r="D44" s="558"/>
      <c r="E44" s="559"/>
      <c r="F44" s="541"/>
      <c r="G44" s="542"/>
      <c r="H44" s="555"/>
      <c r="I44" s="540"/>
      <c r="J44" s="540"/>
      <c r="K44" s="540"/>
      <c r="L44" s="540"/>
    </row>
    <row r="45" spans="1:12" ht="15" customHeight="1">
      <c r="A45" s="552" t="s">
        <v>5</v>
      </c>
      <c r="B45" s="540" t="s">
        <v>162</v>
      </c>
      <c r="C45" s="560"/>
      <c r="D45" s="561"/>
      <c r="E45" s="561"/>
      <c r="F45" s="562" t="str">
        <f>IF(G46=2,"Normal","T-Distibution")</f>
        <v>T-Distibution</v>
      </c>
      <c r="G45" s="563"/>
      <c r="H45" s="560"/>
      <c r="I45" s="564"/>
      <c r="J45" s="540"/>
      <c r="K45" s="540">
        <f>SQRT(SUMSQ(K36:K44))</f>
        <v>3.109126351029605E-4</v>
      </c>
      <c r="L45" s="565">
        <f>IF(K47="",L37,K47)</f>
        <v>4.0367999999999995</v>
      </c>
    </row>
    <row r="46" spans="1:12" ht="15" customHeight="1">
      <c r="A46" s="540" t="s">
        <v>163</v>
      </c>
      <c r="B46" s="540" t="s">
        <v>164</v>
      </c>
      <c r="C46" s="566"/>
      <c r="D46" s="567"/>
      <c r="E46" s="567"/>
      <c r="F46" s="568" t="s">
        <v>165</v>
      </c>
      <c r="G46" s="569">
        <f>MAX(F47:I47)</f>
        <v>2.87</v>
      </c>
      <c r="H46" s="566"/>
      <c r="I46" s="570"/>
      <c r="J46" s="540"/>
      <c r="K46" s="571">
        <f>ROUNDUP((K45*G46),5)</f>
        <v>8.9999999999999998E-4</v>
      </c>
      <c r="L46" s="565">
        <f>IF(K47="",L37,K47)</f>
        <v>4.0367999999999995</v>
      </c>
    </row>
    <row r="47" spans="1:12" ht="15" customHeight="1">
      <c r="C47" s="572"/>
      <c r="D47" s="572"/>
      <c r="E47" s="573"/>
      <c r="F47" s="574">
        <f>IF(AND(K47&gt;=0,K47&lt;2),13.97, IF(AND(K47&gt;=2,K47&lt;3),4.53, IF(AND(K47&gt;=3,K47&lt;4),3.31, IF(AND(K47&gt;=4,K47&lt;5),2.87, IF(AND(K47&gt;=5,K47&lt;6),2.65, IF(AND(K47&gt;=6,K47&lt;7),2.52, IF(AND(K47&gt;=7,K47&lt;8),2.43,"")))))))</f>
        <v>2.87</v>
      </c>
      <c r="G47" s="574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574" t="str">
        <f>IF(AND(K47&gt;=25,K47&lt;30),2.11, IF(AND(K47&gt;=30,K47&lt;35),2.09, IF(AND(K47&gt;=35,K47&lt;40),2.07, IF(AND(K47&gt;=40,K47&lt;45),2.06, IF(AND(K47&gt;=45,K47&lt;50),2.06,"")))))</f>
        <v/>
      </c>
      <c r="I47" s="574" t="str">
        <f>IF(AND(K47&gt;=50,K47&lt;60),2.05, IF(AND(K47&gt;=60,K47&lt;80),2.04, IF(AND(K47&gt;=80,K47&lt;100),2.03, IF(K47=100,2.02,IF(K47&gt;100,2," ")))))</f>
        <v xml:space="preserve"> </v>
      </c>
      <c r="J47" s="575"/>
      <c r="K47" s="575">
        <f>IF(K37*2&gt;=K45,(K45^4*3)/K37^4,"")</f>
        <v>4.0367999999999995</v>
      </c>
      <c r="L47" s="576"/>
    </row>
    <row r="48" spans="1:12" ht="15" customHeight="1">
      <c r="A48" s="533" t="s">
        <v>145</v>
      </c>
      <c r="B48" s="534" t="s">
        <v>166</v>
      </c>
      <c r="C48" s="533"/>
      <c r="D48" s="533"/>
      <c r="E48" s="533" t="s">
        <v>146</v>
      </c>
      <c r="F48" s="535">
        <f>setm3</f>
        <v>300</v>
      </c>
      <c r="G48" s="535"/>
      <c r="H48" s="536" t="s">
        <v>22</v>
      </c>
      <c r="I48" s="533" t="s">
        <v>147</v>
      </c>
      <c r="J48" s="533">
        <f>rang</f>
        <v>1000</v>
      </c>
      <c r="K48" s="537" t="s">
        <v>22</v>
      </c>
      <c r="L48" s="538"/>
    </row>
    <row r="49" spans="1:12" ht="15" customHeight="1">
      <c r="A49" s="539" t="s">
        <v>148</v>
      </c>
      <c r="B49" s="539" t="s">
        <v>149</v>
      </c>
      <c r="C49" s="540" t="s">
        <v>150</v>
      </c>
      <c r="D49" s="541" t="s">
        <v>151</v>
      </c>
      <c r="E49" s="542"/>
      <c r="F49" s="543" t="s">
        <v>152</v>
      </c>
      <c r="G49" s="544"/>
      <c r="H49" s="539" t="s">
        <v>153</v>
      </c>
      <c r="I49" s="539" t="s">
        <v>154</v>
      </c>
      <c r="J49" s="540" t="s">
        <v>150</v>
      </c>
      <c r="K49" s="545" t="s">
        <v>151</v>
      </c>
      <c r="L49" s="539" t="s">
        <v>155</v>
      </c>
    </row>
    <row r="50" spans="1:12" ht="15" customHeight="1">
      <c r="A50" s="546"/>
      <c r="B50" s="546"/>
      <c r="C50" s="547" t="s">
        <v>156</v>
      </c>
      <c r="D50" s="548" t="s">
        <v>168</v>
      </c>
      <c r="E50" s="549"/>
      <c r="F50" s="550"/>
      <c r="G50" s="551"/>
      <c r="H50" s="546"/>
      <c r="I50" s="546"/>
      <c r="J50" s="547" t="s">
        <v>156</v>
      </c>
      <c r="K50" s="547" t="s">
        <v>168</v>
      </c>
      <c r="L50" s="546"/>
    </row>
    <row r="51" spans="1:12" ht="15" customHeight="1">
      <c r="A51" s="552" t="s">
        <v>205</v>
      </c>
      <c r="B51" s="553" t="s">
        <v>2</v>
      </c>
      <c r="C51" s="547"/>
      <c r="D51" s="554">
        <f>setm3*10^-6</f>
        <v>2.9999999999999997E-4</v>
      </c>
      <c r="E51" s="538"/>
      <c r="F51" s="541" t="s">
        <v>159</v>
      </c>
      <c r="G51" s="542"/>
      <c r="H51" s="555">
        <f t="shared" ref="H51:H52" si="6">SQRT(3)</f>
        <v>1.7320508075688772</v>
      </c>
      <c r="I51" s="540">
        <v>1</v>
      </c>
      <c r="J51" s="547"/>
      <c r="K51" s="540">
        <f t="shared" ref="K51:K53" si="7">D51*I51/H51</f>
        <v>1.7320508075688773E-4</v>
      </c>
      <c r="L51" s="540" t="s">
        <v>158</v>
      </c>
    </row>
    <row r="52" spans="1:12" ht="15" customHeight="1">
      <c r="A52" s="552" t="s">
        <v>206</v>
      </c>
      <c r="B52" s="540" t="s">
        <v>160</v>
      </c>
      <c r="C52" s="540"/>
      <c r="D52" s="556">
        <f>resuuc/2</f>
        <v>5.0000000000000001E-4</v>
      </c>
      <c r="E52" s="557"/>
      <c r="F52" s="541" t="s">
        <v>159</v>
      </c>
      <c r="G52" s="542"/>
      <c r="H52" s="555">
        <f t="shared" si="6"/>
        <v>1.7320508075688772</v>
      </c>
      <c r="I52" s="540">
        <v>1</v>
      </c>
      <c r="J52" s="540"/>
      <c r="K52" s="540">
        <f t="shared" si="7"/>
        <v>2.886751345948129E-4</v>
      </c>
      <c r="L52" s="540" t="s">
        <v>158</v>
      </c>
    </row>
    <row r="53" spans="1:12" ht="15" customHeight="1">
      <c r="A53" s="552" t="s">
        <v>207</v>
      </c>
      <c r="B53" s="540" t="s">
        <v>161</v>
      </c>
      <c r="C53" s="540"/>
      <c r="D53" s="554">
        <f>uucrep1</f>
        <v>0</v>
      </c>
      <c r="E53" s="557"/>
      <c r="F53" s="541" t="s">
        <v>157</v>
      </c>
      <c r="G53" s="542"/>
      <c r="H53" s="547">
        <v>1</v>
      </c>
      <c r="I53" s="540">
        <v>1</v>
      </c>
      <c r="J53" s="540"/>
      <c r="K53" s="540">
        <f t="shared" si="7"/>
        <v>0</v>
      </c>
      <c r="L53" s="540">
        <f>4-1</f>
        <v>3</v>
      </c>
    </row>
    <row r="54" spans="1:12" ht="15" customHeight="1">
      <c r="A54" s="552"/>
      <c r="B54" s="540"/>
      <c r="C54" s="540"/>
      <c r="D54" s="558"/>
      <c r="E54" s="559"/>
      <c r="F54" s="541"/>
      <c r="G54" s="542"/>
      <c r="H54" s="555"/>
      <c r="I54" s="540"/>
      <c r="J54" s="540"/>
      <c r="K54" s="540"/>
      <c r="L54" s="540"/>
    </row>
    <row r="55" spans="1:12" ht="15" customHeight="1">
      <c r="A55" s="552"/>
      <c r="B55" s="540"/>
      <c r="C55" s="540"/>
      <c r="D55" s="558"/>
      <c r="E55" s="559"/>
      <c r="F55" s="541"/>
      <c r="G55" s="542"/>
      <c r="H55" s="547"/>
      <c r="I55" s="540"/>
      <c r="J55" s="540"/>
      <c r="K55" s="540"/>
      <c r="L55" s="540"/>
    </row>
    <row r="56" spans="1:12" ht="15" customHeight="1">
      <c r="A56" s="552"/>
      <c r="B56" s="540"/>
      <c r="C56" s="540"/>
      <c r="D56" s="558"/>
      <c r="E56" s="559"/>
      <c r="F56" s="541"/>
      <c r="G56" s="542"/>
      <c r="H56" s="547"/>
      <c r="I56" s="540"/>
      <c r="J56" s="540"/>
      <c r="K56" s="540"/>
      <c r="L56" s="540"/>
    </row>
    <row r="57" spans="1:12" ht="15" customHeight="1">
      <c r="A57" s="552"/>
      <c r="B57" s="540"/>
      <c r="C57" s="540"/>
      <c r="D57" s="558"/>
      <c r="E57" s="559"/>
      <c r="F57" s="541"/>
      <c r="G57" s="542"/>
      <c r="H57" s="555"/>
      <c r="I57" s="540"/>
      <c r="J57" s="540"/>
      <c r="K57" s="540"/>
      <c r="L57" s="540"/>
    </row>
    <row r="58" spans="1:12" ht="15" customHeight="1">
      <c r="A58" s="552"/>
      <c r="B58" s="540"/>
      <c r="C58" s="540"/>
      <c r="D58" s="558"/>
      <c r="E58" s="559"/>
      <c r="F58" s="541"/>
      <c r="G58" s="542"/>
      <c r="H58" s="555"/>
      <c r="I58" s="540"/>
      <c r="J58" s="540"/>
      <c r="K58" s="540"/>
      <c r="L58" s="540"/>
    </row>
    <row r="59" spans="1:12" ht="15" customHeight="1">
      <c r="A59" s="552"/>
      <c r="B59" s="540"/>
      <c r="C59" s="540"/>
      <c r="D59" s="558"/>
      <c r="E59" s="559"/>
      <c r="F59" s="541"/>
      <c r="G59" s="542"/>
      <c r="H59" s="555"/>
      <c r="I59" s="540"/>
      <c r="J59" s="540"/>
      <c r="K59" s="540"/>
      <c r="L59" s="540"/>
    </row>
    <row r="60" spans="1:12" ht="15" customHeight="1">
      <c r="A60" s="552" t="s">
        <v>5</v>
      </c>
      <c r="B60" s="540" t="s">
        <v>162</v>
      </c>
      <c r="C60" s="560"/>
      <c r="D60" s="561"/>
      <c r="E60" s="561"/>
      <c r="F60" s="562" t="str">
        <f>IF(G61=2,"Normal","T-Distibution")</f>
        <v>T-Distibution</v>
      </c>
      <c r="G60" s="563"/>
      <c r="H60" s="560"/>
      <c r="I60" s="564"/>
      <c r="J60" s="540"/>
      <c r="K60" s="540">
        <f>SQRT(SUMSQ(K51:K59))</f>
        <v>3.3665016461206928E-4</v>
      </c>
      <c r="L60" s="565">
        <f>IF(K62="",L52,K62)</f>
        <v>5.5488</v>
      </c>
    </row>
    <row r="61" spans="1:12" ht="15" customHeight="1">
      <c r="A61" s="540" t="s">
        <v>163</v>
      </c>
      <c r="B61" s="540" t="s">
        <v>164</v>
      </c>
      <c r="C61" s="566"/>
      <c r="D61" s="567"/>
      <c r="E61" s="567"/>
      <c r="F61" s="568" t="s">
        <v>165</v>
      </c>
      <c r="G61" s="569">
        <f>MAX(F62:I62)</f>
        <v>2.65</v>
      </c>
      <c r="H61" s="566"/>
      <c r="I61" s="570"/>
      <c r="J61" s="540"/>
      <c r="K61" s="571">
        <f>ROUNDUP((K60*G61),5)</f>
        <v>8.9999999999999998E-4</v>
      </c>
      <c r="L61" s="565">
        <f>IF(K62="",L52,K62)</f>
        <v>5.5488</v>
      </c>
    </row>
    <row r="62" spans="1:12" ht="15" customHeight="1">
      <c r="C62" s="572"/>
      <c r="D62" s="572"/>
      <c r="E62" s="573"/>
      <c r="F62" s="574">
        <f>IF(AND(K62&gt;=0,K62&lt;2),13.97, IF(AND(K62&gt;=2,K62&lt;3),4.53, IF(AND(K62&gt;=3,K62&lt;4),3.31, IF(AND(K62&gt;=4,K62&lt;5),2.87, IF(AND(K62&gt;=5,K62&lt;6),2.65, IF(AND(K62&gt;=6,K62&lt;7),2.52, IF(AND(K62&gt;=7,K62&lt;8),2.43,"")))))))</f>
        <v>2.65</v>
      </c>
      <c r="G62" s="574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574" t="str">
        <f>IF(AND(K62&gt;=25,K62&lt;30),2.11, IF(AND(K62&gt;=30,K62&lt;35),2.09, IF(AND(K62&gt;=35,K62&lt;40),2.07, IF(AND(K62&gt;=40,K62&lt;45),2.06, IF(AND(K62&gt;=45,K62&lt;50),2.06,"")))))</f>
        <v/>
      </c>
      <c r="I62" s="574" t="str">
        <f>IF(AND(K62&gt;=50,K62&lt;60),2.05, IF(AND(K62&gt;=60,K62&lt;80),2.04, IF(AND(K62&gt;=80,K62&lt;100),2.03, IF(K62=100,2.02,IF(K62&gt;100,2," ")))))</f>
        <v xml:space="preserve"> </v>
      </c>
      <c r="J62" s="575"/>
      <c r="K62" s="575">
        <f>IF(K52*2&gt;=K60,(K60^4*3)/K52^4,"")</f>
        <v>5.5488</v>
      </c>
      <c r="L62" s="576"/>
    </row>
    <row r="63" spans="1:12" ht="15" customHeight="1">
      <c r="A63" s="533" t="s">
        <v>145</v>
      </c>
      <c r="B63" s="534" t="s">
        <v>166</v>
      </c>
      <c r="C63" s="533"/>
      <c r="D63" s="533"/>
      <c r="E63" s="533" t="s">
        <v>146</v>
      </c>
      <c r="F63" s="535">
        <f>setm4</f>
        <v>400</v>
      </c>
      <c r="G63" s="535"/>
      <c r="H63" s="536" t="s">
        <v>22</v>
      </c>
      <c r="I63" s="533" t="s">
        <v>147</v>
      </c>
      <c r="J63" s="533">
        <f>rang</f>
        <v>1000</v>
      </c>
      <c r="K63" s="537" t="s">
        <v>22</v>
      </c>
      <c r="L63" s="538"/>
    </row>
    <row r="64" spans="1:12" ht="15" customHeight="1">
      <c r="A64" s="539" t="s">
        <v>148</v>
      </c>
      <c r="B64" s="539" t="s">
        <v>149</v>
      </c>
      <c r="C64" s="540" t="s">
        <v>150</v>
      </c>
      <c r="D64" s="541" t="s">
        <v>151</v>
      </c>
      <c r="E64" s="542"/>
      <c r="F64" s="543" t="s">
        <v>152</v>
      </c>
      <c r="G64" s="544"/>
      <c r="H64" s="539" t="s">
        <v>153</v>
      </c>
      <c r="I64" s="539" t="s">
        <v>154</v>
      </c>
      <c r="J64" s="540" t="s">
        <v>150</v>
      </c>
      <c r="K64" s="545" t="s">
        <v>151</v>
      </c>
      <c r="L64" s="539" t="s">
        <v>155</v>
      </c>
    </row>
    <row r="65" spans="1:12" ht="15" customHeight="1">
      <c r="A65" s="546"/>
      <c r="B65" s="546"/>
      <c r="C65" s="547" t="s">
        <v>156</v>
      </c>
      <c r="D65" s="548" t="s">
        <v>168</v>
      </c>
      <c r="E65" s="549"/>
      <c r="F65" s="550"/>
      <c r="G65" s="551"/>
      <c r="H65" s="546"/>
      <c r="I65" s="546"/>
      <c r="J65" s="547" t="s">
        <v>156</v>
      </c>
      <c r="K65" s="547" t="s">
        <v>168</v>
      </c>
      <c r="L65" s="546"/>
    </row>
    <row r="66" spans="1:12" ht="15" customHeight="1">
      <c r="A66" s="552" t="s">
        <v>205</v>
      </c>
      <c r="B66" s="553" t="s">
        <v>2</v>
      </c>
      <c r="C66" s="547"/>
      <c r="D66" s="554">
        <f>setm4*10^-6</f>
        <v>3.9999999999999996E-4</v>
      </c>
      <c r="E66" s="538"/>
      <c r="F66" s="541" t="s">
        <v>159</v>
      </c>
      <c r="G66" s="542"/>
      <c r="H66" s="555">
        <f t="shared" ref="H66:H67" si="8">SQRT(3)</f>
        <v>1.7320508075688772</v>
      </c>
      <c r="I66" s="540">
        <v>1</v>
      </c>
      <c r="J66" s="547"/>
      <c r="K66" s="540">
        <f t="shared" ref="K66:K68" si="9">D66*I66/H66</f>
        <v>2.3094010767585029E-4</v>
      </c>
      <c r="L66" s="540" t="s">
        <v>158</v>
      </c>
    </row>
    <row r="67" spans="1:12" ht="15" customHeight="1">
      <c r="A67" s="552" t="s">
        <v>206</v>
      </c>
      <c r="B67" s="540" t="s">
        <v>160</v>
      </c>
      <c r="C67" s="540"/>
      <c r="D67" s="556">
        <f>resuuc/2</f>
        <v>5.0000000000000001E-4</v>
      </c>
      <c r="E67" s="557"/>
      <c r="F67" s="541" t="s">
        <v>159</v>
      </c>
      <c r="G67" s="542"/>
      <c r="H67" s="555">
        <f t="shared" si="8"/>
        <v>1.7320508075688772</v>
      </c>
      <c r="I67" s="540">
        <v>1</v>
      </c>
      <c r="J67" s="540"/>
      <c r="K67" s="540">
        <f t="shared" si="9"/>
        <v>2.886751345948129E-4</v>
      </c>
      <c r="L67" s="540" t="s">
        <v>158</v>
      </c>
    </row>
    <row r="68" spans="1:12" ht="15" customHeight="1">
      <c r="A68" s="552" t="s">
        <v>207</v>
      </c>
      <c r="B68" s="540" t="s">
        <v>161</v>
      </c>
      <c r="C68" s="540"/>
      <c r="D68" s="554">
        <f>uucrep1</f>
        <v>0</v>
      </c>
      <c r="E68" s="557"/>
      <c r="F68" s="541" t="s">
        <v>157</v>
      </c>
      <c r="G68" s="542"/>
      <c r="H68" s="547">
        <v>1</v>
      </c>
      <c r="I68" s="540">
        <v>1</v>
      </c>
      <c r="J68" s="540"/>
      <c r="K68" s="540">
        <f t="shared" si="9"/>
        <v>0</v>
      </c>
      <c r="L68" s="540">
        <f>4-1</f>
        <v>3</v>
      </c>
    </row>
    <row r="69" spans="1:12" ht="15" customHeight="1">
      <c r="A69" s="552"/>
      <c r="B69" s="540"/>
      <c r="C69" s="540"/>
      <c r="D69" s="558"/>
      <c r="E69" s="559"/>
      <c r="F69" s="541"/>
      <c r="G69" s="542"/>
      <c r="H69" s="555"/>
      <c r="I69" s="540"/>
      <c r="J69" s="540"/>
      <c r="K69" s="540"/>
      <c r="L69" s="540"/>
    </row>
    <row r="70" spans="1:12" ht="15" customHeight="1">
      <c r="A70" s="552"/>
      <c r="B70" s="540"/>
      <c r="C70" s="540"/>
      <c r="D70" s="558"/>
      <c r="E70" s="559"/>
      <c r="F70" s="541"/>
      <c r="G70" s="542"/>
      <c r="H70" s="547"/>
      <c r="I70" s="540"/>
      <c r="J70" s="540"/>
      <c r="K70" s="540"/>
      <c r="L70" s="540"/>
    </row>
    <row r="71" spans="1:12" ht="15" customHeight="1">
      <c r="A71" s="552"/>
      <c r="B71" s="540"/>
      <c r="C71" s="540"/>
      <c r="D71" s="558"/>
      <c r="E71" s="559"/>
      <c r="F71" s="541"/>
      <c r="G71" s="542"/>
      <c r="H71" s="547"/>
      <c r="I71" s="540"/>
      <c r="J71" s="540"/>
      <c r="K71" s="540"/>
      <c r="L71" s="540"/>
    </row>
    <row r="72" spans="1:12" ht="15" customHeight="1">
      <c r="A72" s="552"/>
      <c r="B72" s="540"/>
      <c r="C72" s="540"/>
      <c r="D72" s="558"/>
      <c r="E72" s="559"/>
      <c r="F72" s="541"/>
      <c r="G72" s="542"/>
      <c r="H72" s="555"/>
      <c r="I72" s="540"/>
      <c r="J72" s="540"/>
      <c r="K72" s="540"/>
      <c r="L72" s="540"/>
    </row>
    <row r="73" spans="1:12" ht="15" customHeight="1">
      <c r="A73" s="552"/>
      <c r="B73" s="540"/>
      <c r="C73" s="540"/>
      <c r="D73" s="558"/>
      <c r="E73" s="559"/>
      <c r="F73" s="541"/>
      <c r="G73" s="542"/>
      <c r="H73" s="555"/>
      <c r="I73" s="540"/>
      <c r="J73" s="540"/>
      <c r="K73" s="540"/>
      <c r="L73" s="540"/>
    </row>
    <row r="74" spans="1:12" ht="15" customHeight="1">
      <c r="A74" s="552"/>
      <c r="B74" s="540"/>
      <c r="C74" s="540"/>
      <c r="D74" s="558"/>
      <c r="E74" s="559"/>
      <c r="F74" s="541"/>
      <c r="G74" s="542"/>
      <c r="H74" s="555"/>
      <c r="I74" s="540"/>
      <c r="J74" s="540"/>
      <c r="K74" s="540"/>
      <c r="L74" s="540"/>
    </row>
    <row r="75" spans="1:12" ht="15" customHeight="1">
      <c r="A75" s="552" t="s">
        <v>5</v>
      </c>
      <c r="B75" s="540" t="s">
        <v>162</v>
      </c>
      <c r="C75" s="560"/>
      <c r="D75" s="561"/>
      <c r="E75" s="561"/>
      <c r="F75" s="562" t="str">
        <f>IF(G76=2,"Normal","T-Distibution")</f>
        <v>T-Distibution</v>
      </c>
      <c r="G75" s="563"/>
      <c r="H75" s="560"/>
      <c r="I75" s="564"/>
      <c r="J75" s="540"/>
      <c r="K75" s="540">
        <f>SQRT(SUMSQ(K66:K74))</f>
        <v>3.6968455021364722E-4</v>
      </c>
      <c r="L75" s="565">
        <f>IF(K77="",L67,K77)</f>
        <v>8.068799999999996</v>
      </c>
    </row>
    <row r="76" spans="1:12" ht="15" customHeight="1">
      <c r="A76" s="540" t="s">
        <v>163</v>
      </c>
      <c r="B76" s="540" t="s">
        <v>164</v>
      </c>
      <c r="C76" s="566"/>
      <c r="D76" s="567"/>
      <c r="E76" s="567"/>
      <c r="F76" s="568" t="s">
        <v>165</v>
      </c>
      <c r="G76" s="569">
        <f>MAX(F77:I77)</f>
        <v>2.37</v>
      </c>
      <c r="H76" s="566"/>
      <c r="I76" s="570"/>
      <c r="J76" s="540"/>
      <c r="K76" s="571">
        <f>ROUNDUP((K75*G76),5)</f>
        <v>8.8000000000000003E-4</v>
      </c>
      <c r="L76" s="565">
        <f>IF(K77="",L67,K77)</f>
        <v>8.068799999999996</v>
      </c>
    </row>
    <row r="77" spans="1:12" ht="15" customHeight="1">
      <c r="C77" s="572"/>
      <c r="D77" s="572"/>
      <c r="E77" s="573"/>
      <c r="F77" s="574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574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>2.37</v>
      </c>
      <c r="H77" s="574" t="str">
        <f>IF(AND(K77&gt;=25,K77&lt;30),2.11, IF(AND(K77&gt;=30,K77&lt;35),2.09, IF(AND(K77&gt;=35,K77&lt;40),2.07, IF(AND(K77&gt;=40,K77&lt;45),2.06, IF(AND(K77&gt;=45,K77&lt;50),2.06,"")))))</f>
        <v/>
      </c>
      <c r="I77" s="574" t="str">
        <f>IF(AND(K77&gt;=50,K77&lt;60),2.05, IF(AND(K77&gt;=60,K77&lt;80),2.04, IF(AND(K77&gt;=80,K77&lt;100),2.03, IF(K77=100,2.02,IF(K77&gt;100,2," ")))))</f>
        <v xml:space="preserve"> </v>
      </c>
      <c r="J77" s="575"/>
      <c r="K77" s="575">
        <f>IF(K67*2&gt;=K75,(K75^4*3)/K67^4,"")</f>
        <v>8.068799999999996</v>
      </c>
      <c r="L77" s="576"/>
    </row>
    <row r="78" spans="1:12" ht="15" customHeight="1">
      <c r="A78" s="533" t="s">
        <v>145</v>
      </c>
      <c r="B78" s="534" t="s">
        <v>166</v>
      </c>
      <c r="C78" s="533"/>
      <c r="D78" s="533"/>
      <c r="E78" s="533" t="s">
        <v>146</v>
      </c>
      <c r="F78" s="535">
        <f>setm5</f>
        <v>500</v>
      </c>
      <c r="G78" s="535"/>
      <c r="H78" s="536" t="s">
        <v>22</v>
      </c>
      <c r="I78" s="533" t="s">
        <v>147</v>
      </c>
      <c r="J78" s="533">
        <f>rang</f>
        <v>1000</v>
      </c>
      <c r="K78" s="537" t="s">
        <v>22</v>
      </c>
      <c r="L78" s="538"/>
    </row>
    <row r="79" spans="1:12" ht="15" customHeight="1">
      <c r="A79" s="539" t="s">
        <v>148</v>
      </c>
      <c r="B79" s="539" t="s">
        <v>149</v>
      </c>
      <c r="C79" s="540" t="s">
        <v>150</v>
      </c>
      <c r="D79" s="541" t="s">
        <v>151</v>
      </c>
      <c r="E79" s="542"/>
      <c r="F79" s="543" t="s">
        <v>152</v>
      </c>
      <c r="G79" s="544"/>
      <c r="H79" s="539" t="s">
        <v>153</v>
      </c>
      <c r="I79" s="539" t="s">
        <v>154</v>
      </c>
      <c r="J79" s="540" t="s">
        <v>150</v>
      </c>
      <c r="K79" s="545" t="s">
        <v>151</v>
      </c>
      <c r="L79" s="539" t="s">
        <v>155</v>
      </c>
    </row>
    <row r="80" spans="1:12" ht="15" customHeight="1">
      <c r="A80" s="546"/>
      <c r="B80" s="546"/>
      <c r="C80" s="547" t="s">
        <v>156</v>
      </c>
      <c r="D80" s="548" t="s">
        <v>168</v>
      </c>
      <c r="E80" s="549"/>
      <c r="F80" s="550"/>
      <c r="G80" s="551"/>
      <c r="H80" s="546"/>
      <c r="I80" s="546"/>
      <c r="J80" s="547" t="s">
        <v>156</v>
      </c>
      <c r="K80" s="547" t="s">
        <v>168</v>
      </c>
      <c r="L80" s="546"/>
    </row>
    <row r="81" spans="1:12" ht="15" customHeight="1">
      <c r="A81" s="552" t="s">
        <v>205</v>
      </c>
      <c r="B81" s="553" t="s">
        <v>2</v>
      </c>
      <c r="C81" s="547"/>
      <c r="D81" s="554">
        <f>setm5*10^-6</f>
        <v>5.0000000000000001E-4</v>
      </c>
      <c r="E81" s="538"/>
      <c r="F81" s="541" t="s">
        <v>159</v>
      </c>
      <c r="G81" s="542"/>
      <c r="H81" s="555">
        <f t="shared" ref="H81:H82" si="10">SQRT(3)</f>
        <v>1.7320508075688772</v>
      </c>
      <c r="I81" s="540">
        <v>1</v>
      </c>
      <c r="J81" s="547"/>
      <c r="K81" s="540">
        <f t="shared" ref="K81:K83" si="11">D81*I81/H81</f>
        <v>2.886751345948129E-4</v>
      </c>
      <c r="L81" s="540" t="s">
        <v>158</v>
      </c>
    </row>
    <row r="82" spans="1:12" ht="15" customHeight="1">
      <c r="A82" s="552" t="s">
        <v>206</v>
      </c>
      <c r="B82" s="540" t="s">
        <v>160</v>
      </c>
      <c r="C82" s="540"/>
      <c r="D82" s="556">
        <f>resuuc/2</f>
        <v>5.0000000000000001E-4</v>
      </c>
      <c r="E82" s="557"/>
      <c r="F82" s="541" t="s">
        <v>159</v>
      </c>
      <c r="G82" s="542"/>
      <c r="H82" s="555">
        <f t="shared" si="10"/>
        <v>1.7320508075688772</v>
      </c>
      <c r="I82" s="540">
        <v>1</v>
      </c>
      <c r="J82" s="540"/>
      <c r="K82" s="540">
        <f t="shared" si="11"/>
        <v>2.886751345948129E-4</v>
      </c>
      <c r="L82" s="540" t="s">
        <v>158</v>
      </c>
    </row>
    <row r="83" spans="1:12" ht="15" customHeight="1">
      <c r="A83" s="552" t="s">
        <v>207</v>
      </c>
      <c r="B83" s="540" t="s">
        <v>161</v>
      </c>
      <c r="C83" s="540"/>
      <c r="D83" s="554">
        <f>uucrep1</f>
        <v>0</v>
      </c>
      <c r="E83" s="557"/>
      <c r="F83" s="541" t="s">
        <v>157</v>
      </c>
      <c r="G83" s="542"/>
      <c r="H83" s="547">
        <v>1</v>
      </c>
      <c r="I83" s="540">
        <v>1</v>
      </c>
      <c r="J83" s="540"/>
      <c r="K83" s="540">
        <f t="shared" si="11"/>
        <v>0</v>
      </c>
      <c r="L83" s="540">
        <f>4-1</f>
        <v>3</v>
      </c>
    </row>
    <row r="84" spans="1:12" ht="15" customHeight="1">
      <c r="A84" s="552"/>
      <c r="B84" s="540"/>
      <c r="C84" s="540"/>
      <c r="D84" s="558"/>
      <c r="E84" s="559"/>
      <c r="F84" s="541"/>
      <c r="G84" s="542"/>
      <c r="H84" s="555"/>
      <c r="I84" s="540"/>
      <c r="J84" s="540"/>
      <c r="K84" s="540"/>
      <c r="L84" s="540"/>
    </row>
    <row r="85" spans="1:12" ht="15" customHeight="1">
      <c r="A85" s="552"/>
      <c r="B85" s="540"/>
      <c r="C85" s="540"/>
      <c r="D85" s="558"/>
      <c r="E85" s="559"/>
      <c r="F85" s="541"/>
      <c r="G85" s="542"/>
      <c r="H85" s="547"/>
      <c r="I85" s="540"/>
      <c r="J85" s="540"/>
      <c r="K85" s="540"/>
      <c r="L85" s="540"/>
    </row>
    <row r="86" spans="1:12" ht="15" customHeight="1">
      <c r="A86" s="552"/>
      <c r="B86" s="540"/>
      <c r="C86" s="540"/>
      <c r="D86" s="558"/>
      <c r="E86" s="559"/>
      <c r="F86" s="541"/>
      <c r="G86" s="542"/>
      <c r="H86" s="547"/>
      <c r="I86" s="540"/>
      <c r="J86" s="540"/>
      <c r="K86" s="540"/>
      <c r="L86" s="540"/>
    </row>
    <row r="87" spans="1:12" ht="15" customHeight="1">
      <c r="A87" s="552"/>
      <c r="B87" s="540"/>
      <c r="C87" s="540"/>
      <c r="D87" s="558"/>
      <c r="E87" s="559"/>
      <c r="F87" s="541"/>
      <c r="G87" s="542"/>
      <c r="H87" s="555"/>
      <c r="I87" s="540"/>
      <c r="J87" s="540"/>
      <c r="K87" s="540"/>
      <c r="L87" s="540"/>
    </row>
    <row r="88" spans="1:12" ht="15" customHeight="1">
      <c r="A88" s="552"/>
      <c r="B88" s="540"/>
      <c r="C88" s="540"/>
      <c r="D88" s="558"/>
      <c r="E88" s="559"/>
      <c r="F88" s="541"/>
      <c r="G88" s="542"/>
      <c r="H88" s="555"/>
      <c r="I88" s="540"/>
      <c r="J88" s="540"/>
      <c r="K88" s="540"/>
      <c r="L88" s="540"/>
    </row>
    <row r="89" spans="1:12" ht="15" customHeight="1">
      <c r="A89" s="552"/>
      <c r="B89" s="540"/>
      <c r="C89" s="540"/>
      <c r="D89" s="558"/>
      <c r="E89" s="559"/>
      <c r="F89" s="541"/>
      <c r="G89" s="542"/>
      <c r="H89" s="555"/>
      <c r="I89" s="540"/>
      <c r="J89" s="540"/>
      <c r="K89" s="540"/>
      <c r="L89" s="540"/>
    </row>
    <row r="90" spans="1:12" ht="15" customHeight="1">
      <c r="A90" s="552" t="s">
        <v>5</v>
      </c>
      <c r="B90" s="540" t="s">
        <v>162</v>
      </c>
      <c r="C90" s="560"/>
      <c r="D90" s="561"/>
      <c r="E90" s="561"/>
      <c r="F90" s="562" t="str">
        <f>IF(G91=2,"Normal","T-Distibution")</f>
        <v>T-Distibution</v>
      </c>
      <c r="G90" s="563"/>
      <c r="H90" s="560"/>
      <c r="I90" s="564"/>
      <c r="J90" s="540"/>
      <c r="K90" s="540">
        <f>SQRT(SUMSQ(K81:K89))</f>
        <v>4.0824829046386303E-4</v>
      </c>
      <c r="L90" s="565">
        <f>IF(K92="",L82,K92)</f>
        <v>12.000000000000002</v>
      </c>
    </row>
    <row r="91" spans="1:12" ht="15" customHeight="1">
      <c r="A91" s="540" t="s">
        <v>163</v>
      </c>
      <c r="B91" s="540" t="s">
        <v>164</v>
      </c>
      <c r="C91" s="566"/>
      <c r="D91" s="567"/>
      <c r="E91" s="567"/>
      <c r="F91" s="568" t="s">
        <v>165</v>
      </c>
      <c r="G91" s="569">
        <f>MAX(F92:I92)</f>
        <v>2.23</v>
      </c>
      <c r="H91" s="566"/>
      <c r="I91" s="570"/>
      <c r="J91" s="540"/>
      <c r="K91" s="571">
        <f>ROUNDUP((K90*G91),5)</f>
        <v>9.2000000000000003E-4</v>
      </c>
      <c r="L91" s="565">
        <f>IF(K92="",L82,K92)</f>
        <v>12.000000000000002</v>
      </c>
    </row>
    <row r="92" spans="1:12" ht="15" customHeight="1">
      <c r="C92" s="572"/>
      <c r="D92" s="572"/>
      <c r="E92" s="573"/>
      <c r="F92" s="574" t="str">
        <f>IF(AND(K92&gt;=0,K92&lt;2),13.97, IF(AND(K92&gt;=2,K92&lt;3),4.53, IF(AND(K92&gt;=3,K92&lt;4),3.31, IF(AND(K92&gt;=4,K92&lt;5),2.87, IF(AND(K92&gt;=5,K92&lt;6),2.65, IF(AND(K92&gt;=6,K92&lt;7),2.52, IF(AND(K92&gt;=7,K92&lt;8),2.43,"")))))))</f>
        <v/>
      </c>
      <c r="G92" s="574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>2.23</v>
      </c>
      <c r="H92" s="574" t="str">
        <f>IF(AND(K92&gt;=25,K92&lt;30),2.11, IF(AND(K92&gt;=30,K92&lt;35),2.09, IF(AND(K92&gt;=35,K92&lt;40),2.07, IF(AND(K92&gt;=40,K92&lt;45),2.06, IF(AND(K92&gt;=45,K92&lt;50),2.06,"")))))</f>
        <v/>
      </c>
      <c r="I92" s="574" t="str">
        <f>IF(AND(K92&gt;=50,K92&lt;60),2.05, IF(AND(K92&gt;=60,K92&lt;80),2.04, IF(AND(K92&gt;=80,K92&lt;100),2.03, IF(K92=100,2.02,IF(K92&gt;100,2," ")))))</f>
        <v xml:space="preserve"> </v>
      </c>
      <c r="J92" s="575"/>
      <c r="K92" s="575">
        <f>IF(K82*2&gt;=K90,(K90^4*3)/K82^4,"")</f>
        <v>12.000000000000002</v>
      </c>
      <c r="L92" s="576"/>
    </row>
    <row r="93" spans="1:12" ht="15" customHeight="1">
      <c r="A93" s="533" t="s">
        <v>145</v>
      </c>
      <c r="B93" s="534" t="s">
        <v>166</v>
      </c>
      <c r="C93" s="533"/>
      <c r="D93" s="533"/>
      <c r="E93" s="533" t="s">
        <v>146</v>
      </c>
      <c r="F93" s="535">
        <f>setm6</f>
        <v>600</v>
      </c>
      <c r="G93" s="535"/>
      <c r="H93" s="536" t="s">
        <v>22</v>
      </c>
      <c r="I93" s="533" t="s">
        <v>147</v>
      </c>
      <c r="J93" s="533">
        <f>rang</f>
        <v>1000</v>
      </c>
      <c r="K93" s="537" t="s">
        <v>22</v>
      </c>
      <c r="L93" s="538"/>
    </row>
    <row r="94" spans="1:12" ht="15" customHeight="1">
      <c r="A94" s="539" t="s">
        <v>148</v>
      </c>
      <c r="B94" s="539" t="s">
        <v>149</v>
      </c>
      <c r="C94" s="540" t="s">
        <v>150</v>
      </c>
      <c r="D94" s="541" t="s">
        <v>151</v>
      </c>
      <c r="E94" s="542"/>
      <c r="F94" s="543" t="s">
        <v>152</v>
      </c>
      <c r="G94" s="544"/>
      <c r="H94" s="539" t="s">
        <v>153</v>
      </c>
      <c r="I94" s="539" t="s">
        <v>154</v>
      </c>
      <c r="J94" s="540" t="s">
        <v>150</v>
      </c>
      <c r="K94" s="545" t="s">
        <v>151</v>
      </c>
      <c r="L94" s="539" t="s">
        <v>155</v>
      </c>
    </row>
    <row r="95" spans="1:12" ht="15" customHeight="1">
      <c r="A95" s="546"/>
      <c r="B95" s="546"/>
      <c r="C95" s="547" t="s">
        <v>156</v>
      </c>
      <c r="D95" s="548" t="s">
        <v>168</v>
      </c>
      <c r="E95" s="549"/>
      <c r="F95" s="550"/>
      <c r="G95" s="551"/>
      <c r="H95" s="546"/>
      <c r="I95" s="546"/>
      <c r="J95" s="547" t="s">
        <v>156</v>
      </c>
      <c r="K95" s="547" t="s">
        <v>168</v>
      </c>
      <c r="L95" s="546"/>
    </row>
    <row r="96" spans="1:12" ht="15" customHeight="1">
      <c r="A96" s="552" t="s">
        <v>205</v>
      </c>
      <c r="B96" s="553" t="s">
        <v>2</v>
      </c>
      <c r="C96" s="547"/>
      <c r="D96" s="554">
        <f>setm6*10^-6</f>
        <v>5.9999999999999995E-4</v>
      </c>
      <c r="E96" s="538"/>
      <c r="F96" s="541" t="s">
        <v>159</v>
      </c>
      <c r="G96" s="542"/>
      <c r="H96" s="555">
        <f t="shared" ref="H96:H97" si="12">SQRT(3)</f>
        <v>1.7320508075688772</v>
      </c>
      <c r="I96" s="540">
        <v>1</v>
      </c>
      <c r="J96" s="547"/>
      <c r="K96" s="540">
        <f t="shared" ref="K96:K98" si="13">D96*I96/H96</f>
        <v>3.4641016151377546E-4</v>
      </c>
      <c r="L96" s="540" t="s">
        <v>158</v>
      </c>
    </row>
    <row r="97" spans="1:12" ht="15" customHeight="1">
      <c r="A97" s="552" t="s">
        <v>206</v>
      </c>
      <c r="B97" s="540" t="s">
        <v>160</v>
      </c>
      <c r="C97" s="540"/>
      <c r="D97" s="556">
        <f>resuuc/2</f>
        <v>5.0000000000000001E-4</v>
      </c>
      <c r="E97" s="557"/>
      <c r="F97" s="541" t="s">
        <v>159</v>
      </c>
      <c r="G97" s="542"/>
      <c r="H97" s="555">
        <f t="shared" si="12"/>
        <v>1.7320508075688772</v>
      </c>
      <c r="I97" s="540">
        <v>1</v>
      </c>
      <c r="J97" s="540"/>
      <c r="K97" s="540">
        <f t="shared" si="13"/>
        <v>2.886751345948129E-4</v>
      </c>
      <c r="L97" s="540" t="s">
        <v>158</v>
      </c>
    </row>
    <row r="98" spans="1:12" ht="15" customHeight="1">
      <c r="A98" s="552" t="s">
        <v>207</v>
      </c>
      <c r="B98" s="540" t="s">
        <v>161</v>
      </c>
      <c r="C98" s="540"/>
      <c r="D98" s="554">
        <f>uucrep1</f>
        <v>0</v>
      </c>
      <c r="E98" s="557"/>
      <c r="F98" s="541" t="s">
        <v>157</v>
      </c>
      <c r="G98" s="542"/>
      <c r="H98" s="547">
        <v>1</v>
      </c>
      <c r="I98" s="540">
        <v>1</v>
      </c>
      <c r="J98" s="540"/>
      <c r="K98" s="540">
        <f t="shared" si="13"/>
        <v>0</v>
      </c>
      <c r="L98" s="540">
        <f>4-1</f>
        <v>3</v>
      </c>
    </row>
    <row r="99" spans="1:12" ht="15" customHeight="1">
      <c r="A99" s="552"/>
      <c r="B99" s="540"/>
      <c r="C99" s="540"/>
      <c r="D99" s="558"/>
      <c r="E99" s="559"/>
      <c r="F99" s="541"/>
      <c r="G99" s="542"/>
      <c r="H99" s="555"/>
      <c r="I99" s="540"/>
      <c r="J99" s="540"/>
      <c r="K99" s="540"/>
      <c r="L99" s="540"/>
    </row>
    <row r="100" spans="1:12" ht="15" customHeight="1">
      <c r="A100" s="552"/>
      <c r="B100" s="540"/>
      <c r="C100" s="540"/>
      <c r="D100" s="558"/>
      <c r="E100" s="559"/>
      <c r="F100" s="541"/>
      <c r="G100" s="542"/>
      <c r="H100" s="547"/>
      <c r="I100" s="540"/>
      <c r="J100" s="540"/>
      <c r="K100" s="540"/>
      <c r="L100" s="540"/>
    </row>
    <row r="101" spans="1:12" ht="15" customHeight="1">
      <c r="A101" s="552"/>
      <c r="B101" s="540"/>
      <c r="C101" s="540"/>
      <c r="D101" s="558"/>
      <c r="E101" s="559"/>
      <c r="F101" s="541"/>
      <c r="G101" s="542"/>
      <c r="H101" s="547"/>
      <c r="I101" s="540"/>
      <c r="J101" s="540"/>
      <c r="K101" s="540"/>
      <c r="L101" s="540"/>
    </row>
    <row r="102" spans="1:12" ht="15" customHeight="1">
      <c r="A102" s="552"/>
      <c r="B102" s="540"/>
      <c r="C102" s="540"/>
      <c r="D102" s="558"/>
      <c r="E102" s="559"/>
      <c r="F102" s="541"/>
      <c r="G102" s="542"/>
      <c r="H102" s="555"/>
      <c r="I102" s="540"/>
      <c r="J102" s="540"/>
      <c r="K102" s="540"/>
      <c r="L102" s="540"/>
    </row>
    <row r="103" spans="1:12" ht="15" customHeight="1">
      <c r="A103" s="552"/>
      <c r="B103" s="540"/>
      <c r="C103" s="540"/>
      <c r="D103" s="558"/>
      <c r="E103" s="559"/>
      <c r="F103" s="541"/>
      <c r="G103" s="542"/>
      <c r="H103" s="555"/>
      <c r="I103" s="540"/>
      <c r="J103" s="540"/>
      <c r="K103" s="540"/>
      <c r="L103" s="540"/>
    </row>
    <row r="104" spans="1:12" ht="15" customHeight="1">
      <c r="A104" s="552"/>
      <c r="B104" s="540"/>
      <c r="C104" s="540"/>
      <c r="D104" s="558"/>
      <c r="E104" s="559"/>
      <c r="F104" s="541"/>
      <c r="G104" s="542"/>
      <c r="H104" s="555"/>
      <c r="I104" s="540"/>
      <c r="J104" s="540"/>
      <c r="K104" s="540"/>
      <c r="L104" s="540"/>
    </row>
    <row r="105" spans="1:12" ht="15" customHeight="1">
      <c r="A105" s="552" t="s">
        <v>5</v>
      </c>
      <c r="B105" s="540" t="s">
        <v>162</v>
      </c>
      <c r="C105" s="560"/>
      <c r="D105" s="561"/>
      <c r="E105" s="561"/>
      <c r="F105" s="562" t="str">
        <f>IF(G106=2,"Normal","T-Distibution")</f>
        <v>T-Distibution</v>
      </c>
      <c r="G105" s="563"/>
      <c r="H105" s="560"/>
      <c r="I105" s="564"/>
      <c r="J105" s="540"/>
      <c r="K105" s="540">
        <f>SQRT(SUMSQ(K96:K104))</f>
        <v>4.509249752822894E-4</v>
      </c>
      <c r="L105" s="565">
        <f>IF(K107="",L97,K107)</f>
        <v>17.86079999999999</v>
      </c>
    </row>
    <row r="106" spans="1:12" ht="15" customHeight="1">
      <c r="A106" s="540" t="s">
        <v>163</v>
      </c>
      <c r="B106" s="540" t="s">
        <v>164</v>
      </c>
      <c r="C106" s="566"/>
      <c r="D106" s="567"/>
      <c r="E106" s="567"/>
      <c r="F106" s="568" t="s">
        <v>165</v>
      </c>
      <c r="G106" s="569">
        <f>MAX(F107:I107)</f>
        <v>2.17</v>
      </c>
      <c r="H106" s="566"/>
      <c r="I106" s="570"/>
      <c r="J106" s="540"/>
      <c r="K106" s="571">
        <f>ROUNDUP((K105*G106),5)</f>
        <v>9.7999999999999997E-4</v>
      </c>
      <c r="L106" s="565">
        <f>IF(K107="",L97,K107)</f>
        <v>17.86079999999999</v>
      </c>
    </row>
    <row r="107" spans="1:12" ht="15" customHeight="1">
      <c r="C107" s="572"/>
      <c r="D107" s="572"/>
      <c r="E107" s="573"/>
      <c r="F107" s="574" t="str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/>
      </c>
      <c r="G107" s="574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>2.17</v>
      </c>
      <c r="H107" s="574" t="str">
        <f>IF(AND(K107&gt;=25,K107&lt;30),2.11, IF(AND(K107&gt;=30,K107&lt;35),2.09, IF(AND(K107&gt;=35,K107&lt;40),2.07, IF(AND(K107&gt;=40,K107&lt;45),2.06, IF(AND(K107&gt;=45,K107&lt;50),2.06,"")))))</f>
        <v/>
      </c>
      <c r="I107" s="574" t="str">
        <f>IF(AND(K107&gt;=50,K107&lt;60),2.05, IF(AND(K107&gt;=60,K107&lt;80),2.04, IF(AND(K107&gt;=80,K107&lt;100),2.03, IF(K107=100,2.02,IF(K107&gt;100,2," ")))))</f>
        <v xml:space="preserve"> </v>
      </c>
      <c r="J107" s="575"/>
      <c r="K107" s="575">
        <f>IF(K97*2&gt;=K105,(K105^4*3)/K97^4,"")</f>
        <v>17.86079999999999</v>
      </c>
      <c r="L107" s="576"/>
    </row>
    <row r="108" spans="1:12" ht="15" customHeight="1">
      <c r="A108" s="533" t="s">
        <v>145</v>
      </c>
      <c r="B108" s="534" t="s">
        <v>166</v>
      </c>
      <c r="C108" s="533"/>
      <c r="D108" s="533"/>
      <c r="E108" s="533" t="s">
        <v>146</v>
      </c>
      <c r="F108" s="535">
        <f>setm7</f>
        <v>700</v>
      </c>
      <c r="G108" s="535"/>
      <c r="H108" s="536" t="s">
        <v>22</v>
      </c>
      <c r="I108" s="533" t="s">
        <v>147</v>
      </c>
      <c r="J108" s="533">
        <f>rang</f>
        <v>1000</v>
      </c>
      <c r="K108" s="537" t="s">
        <v>22</v>
      </c>
      <c r="L108" s="538"/>
    </row>
    <row r="109" spans="1:12" ht="15" customHeight="1">
      <c r="A109" s="539" t="s">
        <v>148</v>
      </c>
      <c r="B109" s="539" t="s">
        <v>149</v>
      </c>
      <c r="C109" s="540" t="s">
        <v>150</v>
      </c>
      <c r="D109" s="541" t="s">
        <v>151</v>
      </c>
      <c r="E109" s="542"/>
      <c r="F109" s="543" t="s">
        <v>152</v>
      </c>
      <c r="G109" s="544"/>
      <c r="H109" s="539" t="s">
        <v>153</v>
      </c>
      <c r="I109" s="539" t="s">
        <v>154</v>
      </c>
      <c r="J109" s="540" t="s">
        <v>150</v>
      </c>
      <c r="K109" s="545" t="s">
        <v>151</v>
      </c>
      <c r="L109" s="539" t="s">
        <v>155</v>
      </c>
    </row>
    <row r="110" spans="1:12" ht="15" customHeight="1">
      <c r="A110" s="546"/>
      <c r="B110" s="546"/>
      <c r="C110" s="547" t="s">
        <v>156</v>
      </c>
      <c r="D110" s="548" t="s">
        <v>168</v>
      </c>
      <c r="E110" s="549"/>
      <c r="F110" s="550"/>
      <c r="G110" s="551"/>
      <c r="H110" s="546"/>
      <c r="I110" s="546"/>
      <c r="J110" s="547" t="s">
        <v>156</v>
      </c>
      <c r="K110" s="547" t="s">
        <v>168</v>
      </c>
      <c r="L110" s="546"/>
    </row>
    <row r="111" spans="1:12" ht="15" customHeight="1">
      <c r="A111" s="552" t="s">
        <v>205</v>
      </c>
      <c r="B111" s="553" t="s">
        <v>2</v>
      </c>
      <c r="C111" s="547"/>
      <c r="D111" s="554">
        <f>setm7*10^-6</f>
        <v>6.9999999999999999E-4</v>
      </c>
      <c r="E111" s="538"/>
      <c r="F111" s="541" t="s">
        <v>159</v>
      </c>
      <c r="G111" s="542"/>
      <c r="H111" s="555">
        <f t="shared" ref="H111:H112" si="14">SQRT(3)</f>
        <v>1.7320508075688772</v>
      </c>
      <c r="I111" s="540">
        <v>1</v>
      </c>
      <c r="J111" s="547"/>
      <c r="K111" s="540">
        <f t="shared" ref="K111:K113" si="15">D111*I111/H111</f>
        <v>4.0414518843273807E-4</v>
      </c>
      <c r="L111" s="540" t="s">
        <v>158</v>
      </c>
    </row>
    <row r="112" spans="1:12" ht="15" customHeight="1">
      <c r="A112" s="552" t="s">
        <v>206</v>
      </c>
      <c r="B112" s="540" t="s">
        <v>160</v>
      </c>
      <c r="C112" s="540"/>
      <c r="D112" s="556">
        <f>resuuc/2</f>
        <v>5.0000000000000001E-4</v>
      </c>
      <c r="E112" s="557"/>
      <c r="F112" s="541" t="s">
        <v>159</v>
      </c>
      <c r="G112" s="542"/>
      <c r="H112" s="555">
        <f t="shared" si="14"/>
        <v>1.7320508075688772</v>
      </c>
      <c r="I112" s="540">
        <v>1</v>
      </c>
      <c r="J112" s="540"/>
      <c r="K112" s="540">
        <f t="shared" si="15"/>
        <v>2.886751345948129E-4</v>
      </c>
      <c r="L112" s="540" t="s">
        <v>158</v>
      </c>
    </row>
    <row r="113" spans="1:12" ht="15" customHeight="1">
      <c r="A113" s="552" t="s">
        <v>207</v>
      </c>
      <c r="B113" s="540" t="s">
        <v>161</v>
      </c>
      <c r="C113" s="540"/>
      <c r="D113" s="554">
        <f>uucrep1</f>
        <v>0</v>
      </c>
      <c r="E113" s="557"/>
      <c r="F113" s="541" t="s">
        <v>157</v>
      </c>
      <c r="G113" s="542"/>
      <c r="H113" s="547">
        <v>1</v>
      </c>
      <c r="I113" s="540">
        <v>1</v>
      </c>
      <c r="J113" s="540"/>
      <c r="K113" s="540">
        <f t="shared" si="15"/>
        <v>0</v>
      </c>
      <c r="L113" s="540">
        <f>4-1</f>
        <v>3</v>
      </c>
    </row>
    <row r="114" spans="1:12" ht="15" customHeight="1">
      <c r="A114" s="552"/>
      <c r="B114" s="540"/>
      <c r="C114" s="540"/>
      <c r="D114" s="558"/>
      <c r="E114" s="559"/>
      <c r="F114" s="541"/>
      <c r="G114" s="542"/>
      <c r="H114" s="555"/>
      <c r="I114" s="540"/>
      <c r="J114" s="540"/>
      <c r="K114" s="540"/>
      <c r="L114" s="540"/>
    </row>
    <row r="115" spans="1:12" ht="15" customHeight="1">
      <c r="A115" s="552"/>
      <c r="B115" s="540"/>
      <c r="C115" s="540"/>
      <c r="D115" s="558"/>
      <c r="E115" s="559"/>
      <c r="F115" s="541"/>
      <c r="G115" s="542"/>
      <c r="H115" s="547"/>
      <c r="I115" s="540"/>
      <c r="J115" s="540"/>
      <c r="K115" s="540"/>
      <c r="L115" s="540"/>
    </row>
    <row r="116" spans="1:12" ht="15" customHeight="1">
      <c r="A116" s="552"/>
      <c r="B116" s="540"/>
      <c r="C116" s="540"/>
      <c r="D116" s="558"/>
      <c r="E116" s="559"/>
      <c r="F116" s="541"/>
      <c r="G116" s="542"/>
      <c r="H116" s="547"/>
      <c r="I116" s="540"/>
      <c r="J116" s="540"/>
      <c r="K116" s="540"/>
      <c r="L116" s="540"/>
    </row>
    <row r="117" spans="1:12" ht="15" customHeight="1">
      <c r="A117" s="552"/>
      <c r="B117" s="540"/>
      <c r="C117" s="540"/>
      <c r="D117" s="558"/>
      <c r="E117" s="559"/>
      <c r="F117" s="541"/>
      <c r="G117" s="542"/>
      <c r="H117" s="555"/>
      <c r="I117" s="540"/>
      <c r="J117" s="540"/>
      <c r="K117" s="540"/>
      <c r="L117" s="540"/>
    </row>
    <row r="118" spans="1:12" ht="15" customHeight="1">
      <c r="A118" s="552"/>
      <c r="B118" s="540"/>
      <c r="C118" s="540"/>
      <c r="D118" s="558"/>
      <c r="E118" s="559"/>
      <c r="F118" s="541"/>
      <c r="G118" s="542"/>
      <c r="H118" s="555"/>
      <c r="I118" s="540"/>
      <c r="J118" s="540"/>
      <c r="K118" s="540"/>
      <c r="L118" s="540"/>
    </row>
    <row r="119" spans="1:12" ht="15" customHeight="1">
      <c r="A119" s="552"/>
      <c r="B119" s="540"/>
      <c r="C119" s="540"/>
      <c r="D119" s="558"/>
      <c r="E119" s="559"/>
      <c r="F119" s="541"/>
      <c r="G119" s="542"/>
      <c r="H119" s="555"/>
      <c r="I119" s="540"/>
      <c r="J119" s="540"/>
      <c r="K119" s="540"/>
      <c r="L119" s="540"/>
    </row>
    <row r="120" spans="1:12" ht="15" customHeight="1">
      <c r="A120" s="552" t="s">
        <v>5</v>
      </c>
      <c r="B120" s="540" t="s">
        <v>162</v>
      </c>
      <c r="C120" s="560"/>
      <c r="D120" s="561"/>
      <c r="E120" s="561"/>
      <c r="F120" s="562" t="str">
        <f>IF(G121=2,"Normal","T-Distibution")</f>
        <v>T-Distibution</v>
      </c>
      <c r="G120" s="563"/>
      <c r="H120" s="560"/>
      <c r="I120" s="564"/>
      <c r="J120" s="540"/>
      <c r="K120" s="540">
        <f>SQRT(SUMSQ(K111:K119))</f>
        <v>4.96655480858378E-4</v>
      </c>
      <c r="L120" s="565">
        <f>IF(K122="",L112,K122)</f>
        <v>26.284799999999994</v>
      </c>
    </row>
    <row r="121" spans="1:12" ht="15" customHeight="1">
      <c r="A121" s="540" t="s">
        <v>163</v>
      </c>
      <c r="B121" s="540" t="s">
        <v>164</v>
      </c>
      <c r="C121" s="566"/>
      <c r="D121" s="567"/>
      <c r="E121" s="567"/>
      <c r="F121" s="568" t="s">
        <v>165</v>
      </c>
      <c r="G121" s="569">
        <f>MAX(F122:I122)</f>
        <v>2.11</v>
      </c>
      <c r="H121" s="566"/>
      <c r="I121" s="570"/>
      <c r="J121" s="540"/>
      <c r="K121" s="571">
        <f>ROUNDUP((K120*G121),5)</f>
        <v>1.0499999999999999E-3</v>
      </c>
      <c r="L121" s="565">
        <f>IF(K122="",L112,K122)</f>
        <v>26.284799999999994</v>
      </c>
    </row>
    <row r="122" spans="1:12" ht="15" customHeight="1">
      <c r="C122" s="572"/>
      <c r="D122" s="572"/>
      <c r="E122" s="573"/>
      <c r="F122" s="574" t="str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/>
      </c>
      <c r="G122" s="574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574">
        <f>IF(AND(K122&gt;=25,K122&lt;30),2.11, IF(AND(K122&gt;=30,K122&lt;35),2.09, IF(AND(K122&gt;=35,K122&lt;40),2.07, IF(AND(K122&gt;=40,K122&lt;45),2.06, IF(AND(K122&gt;=45,K122&lt;50),2.06,"")))))</f>
        <v>2.11</v>
      </c>
      <c r="I122" s="574" t="str">
        <f>IF(AND(K122&gt;=50,K122&lt;60),2.05, IF(AND(K122&gt;=60,K122&lt;80),2.04, IF(AND(K122&gt;=80,K122&lt;100),2.03, IF(K122=100,2.02,IF(K122&gt;100,2," ")))))</f>
        <v xml:space="preserve"> </v>
      </c>
      <c r="J122" s="575"/>
      <c r="K122" s="575">
        <f>IF(K112*2&gt;=K120,(K120^4*3)/K112^4,"")</f>
        <v>26.284799999999994</v>
      </c>
      <c r="L122" s="576"/>
    </row>
    <row r="123" spans="1:12" ht="15" customHeight="1">
      <c r="A123" s="533" t="s">
        <v>145</v>
      </c>
      <c r="B123" s="534" t="s">
        <v>166</v>
      </c>
      <c r="C123" s="533"/>
      <c r="D123" s="533"/>
      <c r="E123" s="533" t="s">
        <v>146</v>
      </c>
      <c r="F123" s="535">
        <f>setm8</f>
        <v>800</v>
      </c>
      <c r="G123" s="535"/>
      <c r="H123" s="536" t="s">
        <v>22</v>
      </c>
      <c r="I123" s="533" t="s">
        <v>147</v>
      </c>
      <c r="J123" s="533">
        <f>rang</f>
        <v>1000</v>
      </c>
      <c r="K123" s="537" t="s">
        <v>22</v>
      </c>
      <c r="L123" s="538"/>
    </row>
    <row r="124" spans="1:12" ht="15" customHeight="1">
      <c r="A124" s="539" t="s">
        <v>148</v>
      </c>
      <c r="B124" s="539" t="s">
        <v>149</v>
      </c>
      <c r="C124" s="540" t="s">
        <v>150</v>
      </c>
      <c r="D124" s="541" t="s">
        <v>151</v>
      </c>
      <c r="E124" s="542"/>
      <c r="F124" s="543" t="s">
        <v>152</v>
      </c>
      <c r="G124" s="544"/>
      <c r="H124" s="539" t="s">
        <v>153</v>
      </c>
      <c r="I124" s="539" t="s">
        <v>154</v>
      </c>
      <c r="J124" s="540" t="s">
        <v>150</v>
      </c>
      <c r="K124" s="545" t="s">
        <v>151</v>
      </c>
      <c r="L124" s="539" t="s">
        <v>155</v>
      </c>
    </row>
    <row r="125" spans="1:12" ht="15" customHeight="1">
      <c r="A125" s="546"/>
      <c r="B125" s="546"/>
      <c r="C125" s="547" t="s">
        <v>156</v>
      </c>
      <c r="D125" s="548" t="s">
        <v>168</v>
      </c>
      <c r="E125" s="549"/>
      <c r="F125" s="550"/>
      <c r="G125" s="551"/>
      <c r="H125" s="546"/>
      <c r="I125" s="546"/>
      <c r="J125" s="547" t="s">
        <v>156</v>
      </c>
      <c r="K125" s="547" t="s">
        <v>168</v>
      </c>
      <c r="L125" s="546"/>
    </row>
    <row r="126" spans="1:12" ht="15" customHeight="1">
      <c r="A126" s="552" t="s">
        <v>205</v>
      </c>
      <c r="B126" s="553" t="s">
        <v>2</v>
      </c>
      <c r="C126" s="547"/>
      <c r="D126" s="554">
        <f>setm8*10^-6</f>
        <v>7.9999999999999993E-4</v>
      </c>
      <c r="E126" s="538"/>
      <c r="F126" s="541" t="s">
        <v>159</v>
      </c>
      <c r="G126" s="542"/>
      <c r="H126" s="555">
        <f t="shared" ref="H126:H127" si="16">SQRT(3)</f>
        <v>1.7320508075688772</v>
      </c>
      <c r="I126" s="540">
        <v>1</v>
      </c>
      <c r="J126" s="547"/>
      <c r="K126" s="540">
        <f t="shared" ref="K126:K128" si="17">D126*I126/H126</f>
        <v>4.6188021535170057E-4</v>
      </c>
      <c r="L126" s="540" t="s">
        <v>158</v>
      </c>
    </row>
    <row r="127" spans="1:12" ht="15" customHeight="1">
      <c r="A127" s="552" t="s">
        <v>206</v>
      </c>
      <c r="B127" s="540" t="s">
        <v>160</v>
      </c>
      <c r="C127" s="540"/>
      <c r="D127" s="556">
        <f>resuuc/2</f>
        <v>5.0000000000000001E-4</v>
      </c>
      <c r="E127" s="557"/>
      <c r="F127" s="541" t="s">
        <v>159</v>
      </c>
      <c r="G127" s="542"/>
      <c r="H127" s="555">
        <f t="shared" si="16"/>
        <v>1.7320508075688772</v>
      </c>
      <c r="I127" s="540">
        <v>1</v>
      </c>
      <c r="J127" s="540"/>
      <c r="K127" s="540">
        <f t="shared" si="17"/>
        <v>2.886751345948129E-4</v>
      </c>
      <c r="L127" s="540" t="s">
        <v>158</v>
      </c>
    </row>
    <row r="128" spans="1:12" ht="15" customHeight="1">
      <c r="A128" s="552" t="s">
        <v>207</v>
      </c>
      <c r="B128" s="540" t="s">
        <v>161</v>
      </c>
      <c r="C128" s="540"/>
      <c r="D128" s="554">
        <f>uucrep1</f>
        <v>0</v>
      </c>
      <c r="E128" s="557"/>
      <c r="F128" s="541" t="s">
        <v>157</v>
      </c>
      <c r="G128" s="542"/>
      <c r="H128" s="547">
        <v>1</v>
      </c>
      <c r="I128" s="540">
        <v>1</v>
      </c>
      <c r="J128" s="540"/>
      <c r="K128" s="540">
        <f t="shared" si="17"/>
        <v>0</v>
      </c>
      <c r="L128" s="540">
        <f>4-1</f>
        <v>3</v>
      </c>
    </row>
    <row r="129" spans="1:12" ht="15" customHeight="1">
      <c r="A129" s="552"/>
      <c r="B129" s="540"/>
      <c r="C129" s="540"/>
      <c r="D129" s="558"/>
      <c r="E129" s="559"/>
      <c r="F129" s="541"/>
      <c r="G129" s="542"/>
      <c r="H129" s="555"/>
      <c r="I129" s="540"/>
      <c r="J129" s="540"/>
      <c r="K129" s="540"/>
      <c r="L129" s="540"/>
    </row>
    <row r="130" spans="1:12" ht="15" customHeight="1">
      <c r="A130" s="552"/>
      <c r="B130" s="540"/>
      <c r="C130" s="540"/>
      <c r="D130" s="558"/>
      <c r="E130" s="559"/>
      <c r="F130" s="541"/>
      <c r="G130" s="542"/>
      <c r="H130" s="547"/>
      <c r="I130" s="540"/>
      <c r="J130" s="540"/>
      <c r="K130" s="540"/>
      <c r="L130" s="540"/>
    </row>
    <row r="131" spans="1:12" ht="15" customHeight="1">
      <c r="A131" s="552"/>
      <c r="B131" s="540"/>
      <c r="C131" s="540"/>
      <c r="D131" s="558"/>
      <c r="E131" s="559"/>
      <c r="F131" s="541"/>
      <c r="G131" s="542"/>
      <c r="H131" s="547"/>
      <c r="I131" s="540"/>
      <c r="J131" s="540"/>
      <c r="K131" s="540"/>
      <c r="L131" s="540"/>
    </row>
    <row r="132" spans="1:12" ht="15" customHeight="1">
      <c r="A132" s="552"/>
      <c r="B132" s="540"/>
      <c r="C132" s="540"/>
      <c r="D132" s="558"/>
      <c r="E132" s="559"/>
      <c r="F132" s="541"/>
      <c r="G132" s="542"/>
      <c r="H132" s="555"/>
      <c r="I132" s="540"/>
      <c r="J132" s="540"/>
      <c r="K132" s="540"/>
      <c r="L132" s="540"/>
    </row>
    <row r="133" spans="1:12" ht="15" customHeight="1">
      <c r="A133" s="552"/>
      <c r="B133" s="540"/>
      <c r="C133" s="540"/>
      <c r="D133" s="558"/>
      <c r="E133" s="559"/>
      <c r="F133" s="541"/>
      <c r="G133" s="542"/>
      <c r="H133" s="555"/>
      <c r="I133" s="540"/>
      <c r="J133" s="540"/>
      <c r="K133" s="540"/>
      <c r="L133" s="540"/>
    </row>
    <row r="134" spans="1:12" ht="15" customHeight="1">
      <c r="A134" s="552"/>
      <c r="B134" s="540"/>
      <c r="C134" s="540"/>
      <c r="D134" s="558"/>
      <c r="E134" s="559"/>
      <c r="F134" s="541"/>
      <c r="G134" s="542"/>
      <c r="H134" s="555"/>
      <c r="I134" s="540"/>
      <c r="J134" s="540"/>
      <c r="K134" s="540"/>
      <c r="L134" s="540"/>
    </row>
    <row r="135" spans="1:12" ht="15" customHeight="1">
      <c r="A135" s="552" t="s">
        <v>5</v>
      </c>
      <c r="B135" s="540" t="s">
        <v>162</v>
      </c>
      <c r="C135" s="560"/>
      <c r="D135" s="561"/>
      <c r="E135" s="561"/>
      <c r="F135" s="562" t="str">
        <f>IF(G136=2,"Normal","T-Distibution")</f>
        <v>T-Distibution</v>
      </c>
      <c r="G135" s="563"/>
      <c r="H135" s="560"/>
      <c r="I135" s="564"/>
      <c r="J135" s="540"/>
      <c r="K135" s="540">
        <f>SQRT(SUMSQ(K126:K134))</f>
        <v>5.4467115461227301E-4</v>
      </c>
      <c r="L135" s="565">
        <f>IF(K137="",L127,K137)</f>
        <v>38.02079999999998</v>
      </c>
    </row>
    <row r="136" spans="1:12" ht="15" customHeight="1">
      <c r="A136" s="540" t="s">
        <v>163</v>
      </c>
      <c r="B136" s="540" t="s">
        <v>164</v>
      </c>
      <c r="C136" s="566"/>
      <c r="D136" s="567"/>
      <c r="E136" s="567"/>
      <c r="F136" s="568" t="s">
        <v>165</v>
      </c>
      <c r="G136" s="569">
        <f>MAX(F137:I137)</f>
        <v>2.0699999999999998</v>
      </c>
      <c r="H136" s="566"/>
      <c r="I136" s="570"/>
      <c r="J136" s="540"/>
      <c r="K136" s="571">
        <f>ROUNDUP((K135*G136),5)</f>
        <v>1.1299999999999999E-3</v>
      </c>
      <c r="L136" s="565">
        <f>IF(K137="",L127,K137)</f>
        <v>38.02079999999998</v>
      </c>
    </row>
    <row r="137" spans="1:12" ht="15" customHeight="1">
      <c r="C137" s="572"/>
      <c r="D137" s="572"/>
      <c r="E137" s="573"/>
      <c r="F137" s="574" t="str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/>
      </c>
      <c r="G137" s="574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574">
        <f>IF(AND(K137&gt;=25,K137&lt;30),2.11, IF(AND(K137&gt;=30,K137&lt;35),2.09, IF(AND(K137&gt;=35,K137&lt;40),2.07, IF(AND(K137&gt;=40,K137&lt;45),2.06, IF(AND(K137&gt;=45,K137&lt;50),2.06,"")))))</f>
        <v>2.0699999999999998</v>
      </c>
      <c r="I137" s="574" t="str">
        <f>IF(AND(K137&gt;=50,K137&lt;60),2.05, IF(AND(K137&gt;=60,K137&lt;80),2.04, IF(AND(K137&gt;=80,K137&lt;100),2.03, IF(K137=100,2.02,IF(K137&gt;100,2," ")))))</f>
        <v xml:space="preserve"> </v>
      </c>
      <c r="J137" s="575"/>
      <c r="K137" s="575">
        <f>IF(K127*2&gt;=K135,(K135^4*3)/K127^4,"")</f>
        <v>38.02079999999998</v>
      </c>
      <c r="L137" s="576"/>
    </row>
    <row r="138" spans="1:12" ht="15" customHeight="1">
      <c r="A138" s="533" t="s">
        <v>145</v>
      </c>
      <c r="B138" s="534" t="s">
        <v>166</v>
      </c>
      <c r="C138" s="533"/>
      <c r="D138" s="533"/>
      <c r="E138" s="533" t="s">
        <v>146</v>
      </c>
      <c r="F138" s="535">
        <f>setm9</f>
        <v>900</v>
      </c>
      <c r="G138" s="535"/>
      <c r="H138" s="536" t="s">
        <v>22</v>
      </c>
      <c r="I138" s="533" t="s">
        <v>147</v>
      </c>
      <c r="J138" s="533">
        <f>rang</f>
        <v>1000</v>
      </c>
      <c r="K138" s="537" t="s">
        <v>22</v>
      </c>
      <c r="L138" s="538"/>
    </row>
    <row r="139" spans="1:12" ht="15" customHeight="1">
      <c r="A139" s="539" t="s">
        <v>148</v>
      </c>
      <c r="B139" s="539" t="s">
        <v>149</v>
      </c>
      <c r="C139" s="540" t="s">
        <v>150</v>
      </c>
      <c r="D139" s="541" t="s">
        <v>151</v>
      </c>
      <c r="E139" s="542"/>
      <c r="F139" s="543" t="s">
        <v>152</v>
      </c>
      <c r="G139" s="544"/>
      <c r="H139" s="539" t="s">
        <v>153</v>
      </c>
      <c r="I139" s="539" t="s">
        <v>154</v>
      </c>
      <c r="J139" s="540" t="s">
        <v>150</v>
      </c>
      <c r="K139" s="545" t="s">
        <v>151</v>
      </c>
      <c r="L139" s="539" t="s">
        <v>155</v>
      </c>
    </row>
    <row r="140" spans="1:12" ht="15" customHeight="1">
      <c r="A140" s="546"/>
      <c r="B140" s="546"/>
      <c r="C140" s="547" t="s">
        <v>156</v>
      </c>
      <c r="D140" s="548" t="s">
        <v>168</v>
      </c>
      <c r="E140" s="549"/>
      <c r="F140" s="550"/>
      <c r="G140" s="551"/>
      <c r="H140" s="546"/>
      <c r="I140" s="546"/>
      <c r="J140" s="547" t="s">
        <v>156</v>
      </c>
      <c r="K140" s="547" t="s">
        <v>168</v>
      </c>
      <c r="L140" s="546"/>
    </row>
    <row r="141" spans="1:12" ht="15" customHeight="1">
      <c r="A141" s="552" t="s">
        <v>205</v>
      </c>
      <c r="B141" s="553" t="s">
        <v>2</v>
      </c>
      <c r="C141" s="547"/>
      <c r="D141" s="554">
        <f>setm9*10^-6</f>
        <v>8.9999999999999998E-4</v>
      </c>
      <c r="E141" s="538"/>
      <c r="F141" s="541" t="s">
        <v>159</v>
      </c>
      <c r="G141" s="542"/>
      <c r="H141" s="555">
        <f t="shared" ref="H141:H142" si="18">SQRT(3)</f>
        <v>1.7320508075688772</v>
      </c>
      <c r="I141" s="540">
        <v>1</v>
      </c>
      <c r="J141" s="547"/>
      <c r="K141" s="540">
        <f t="shared" ref="K141:K143" si="19">D141*I141/H141</f>
        <v>5.1961524227066324E-4</v>
      </c>
      <c r="L141" s="604" t="s">
        <v>158</v>
      </c>
    </row>
    <row r="142" spans="1:12" ht="15" customHeight="1">
      <c r="A142" s="552" t="s">
        <v>206</v>
      </c>
      <c r="B142" s="540" t="s">
        <v>160</v>
      </c>
      <c r="C142" s="540"/>
      <c r="D142" s="556">
        <f>resuuc/2</f>
        <v>5.0000000000000001E-4</v>
      </c>
      <c r="E142" s="557"/>
      <c r="F142" s="541" t="s">
        <v>159</v>
      </c>
      <c r="G142" s="542"/>
      <c r="H142" s="555">
        <f t="shared" si="18"/>
        <v>1.7320508075688772</v>
      </c>
      <c r="I142" s="540">
        <v>1</v>
      </c>
      <c r="J142" s="540"/>
      <c r="K142" s="540">
        <f t="shared" si="19"/>
        <v>2.886751345948129E-4</v>
      </c>
      <c r="L142" s="540" t="s">
        <v>158</v>
      </c>
    </row>
    <row r="143" spans="1:12" ht="15" customHeight="1">
      <c r="A143" s="552" t="s">
        <v>207</v>
      </c>
      <c r="B143" s="540" t="s">
        <v>161</v>
      </c>
      <c r="C143" s="540"/>
      <c r="D143" s="554">
        <f>uucrep1</f>
        <v>0</v>
      </c>
      <c r="E143" s="557"/>
      <c r="F143" s="541" t="s">
        <v>157</v>
      </c>
      <c r="G143" s="542"/>
      <c r="H143" s="547">
        <v>1</v>
      </c>
      <c r="I143" s="540">
        <v>1</v>
      </c>
      <c r="J143" s="540"/>
      <c r="K143" s="540">
        <f t="shared" si="19"/>
        <v>0</v>
      </c>
      <c r="L143" s="540">
        <f>4-1</f>
        <v>3</v>
      </c>
    </row>
    <row r="144" spans="1:12" ht="15" customHeight="1">
      <c r="A144" s="552"/>
      <c r="B144" s="540"/>
      <c r="C144" s="540"/>
      <c r="D144" s="558"/>
      <c r="E144" s="559"/>
      <c r="F144" s="541"/>
      <c r="G144" s="542"/>
      <c r="H144" s="555"/>
      <c r="I144" s="540"/>
      <c r="J144" s="540"/>
      <c r="K144" s="540"/>
      <c r="L144" s="540"/>
    </row>
    <row r="145" spans="1:12" ht="15" customHeight="1">
      <c r="A145" s="552"/>
      <c r="B145" s="540"/>
      <c r="C145" s="540"/>
      <c r="D145" s="558"/>
      <c r="E145" s="559"/>
      <c r="F145" s="541"/>
      <c r="G145" s="542"/>
      <c r="H145" s="547"/>
      <c r="I145" s="540"/>
      <c r="J145" s="540"/>
      <c r="K145" s="540"/>
      <c r="L145" s="540"/>
    </row>
    <row r="146" spans="1:12" ht="15" customHeight="1">
      <c r="A146" s="552"/>
      <c r="B146" s="540"/>
      <c r="C146" s="540"/>
      <c r="D146" s="558"/>
      <c r="E146" s="559"/>
      <c r="F146" s="541"/>
      <c r="G146" s="542"/>
      <c r="H146" s="547"/>
      <c r="I146" s="540"/>
      <c r="J146" s="540"/>
      <c r="K146" s="540"/>
      <c r="L146" s="540"/>
    </row>
    <row r="147" spans="1:12" ht="15" customHeight="1">
      <c r="A147" s="552"/>
      <c r="B147" s="540"/>
      <c r="C147" s="540"/>
      <c r="D147" s="558"/>
      <c r="E147" s="559"/>
      <c r="F147" s="541"/>
      <c r="G147" s="542"/>
      <c r="H147" s="555"/>
      <c r="I147" s="540"/>
      <c r="J147" s="540"/>
      <c r="K147" s="540"/>
      <c r="L147" s="540"/>
    </row>
    <row r="148" spans="1:12" ht="15" customHeight="1">
      <c r="A148" s="552"/>
      <c r="B148" s="540"/>
      <c r="C148" s="540"/>
      <c r="D148" s="558"/>
      <c r="E148" s="559"/>
      <c r="F148" s="541"/>
      <c r="G148" s="542"/>
      <c r="H148" s="555"/>
      <c r="I148" s="540"/>
      <c r="J148" s="540"/>
      <c r="K148" s="540"/>
      <c r="L148" s="540"/>
    </row>
    <row r="149" spans="1:12" ht="15" customHeight="1">
      <c r="A149" s="552"/>
      <c r="B149" s="540"/>
      <c r="C149" s="540"/>
      <c r="D149" s="558"/>
      <c r="E149" s="559"/>
      <c r="F149" s="541"/>
      <c r="G149" s="542"/>
      <c r="H149" s="555"/>
      <c r="I149" s="540"/>
      <c r="J149" s="540"/>
      <c r="K149" s="540"/>
      <c r="L149" s="540"/>
    </row>
    <row r="150" spans="1:12" ht="15" customHeight="1">
      <c r="A150" s="552" t="s">
        <v>5</v>
      </c>
      <c r="B150" s="540" t="s">
        <v>162</v>
      </c>
      <c r="C150" s="560"/>
      <c r="D150" s="561"/>
      <c r="E150" s="561"/>
      <c r="F150" s="562" t="str">
        <f>IF(G151=2,"Normal","T-Distibution")</f>
        <v>Normal</v>
      </c>
      <c r="G150" s="563"/>
      <c r="H150" s="560"/>
      <c r="I150" s="564"/>
      <c r="J150" s="540"/>
      <c r="K150" s="540">
        <f>SQRT(SUMSQ(K141:K149))</f>
        <v>5.94418483337567E-4</v>
      </c>
      <c r="L150" s="565" t="str">
        <f>IF(K152="",L142,K152)</f>
        <v>¥</v>
      </c>
    </row>
    <row r="151" spans="1:12" ht="15" customHeight="1">
      <c r="A151" s="540" t="s">
        <v>163</v>
      </c>
      <c r="B151" s="540" t="s">
        <v>164</v>
      </c>
      <c r="C151" s="566"/>
      <c r="D151" s="567"/>
      <c r="E151" s="567"/>
      <c r="F151" s="568" t="s">
        <v>165</v>
      </c>
      <c r="G151" s="569">
        <f>MAX(F152:I152)</f>
        <v>2</v>
      </c>
      <c r="H151" s="566"/>
      <c r="I151" s="570"/>
      <c r="J151" s="540"/>
      <c r="K151" s="571">
        <f>ROUNDUP((K150*G151),5)</f>
        <v>1.1900000000000001E-3</v>
      </c>
      <c r="L151" s="565" t="str">
        <f>IF(K152="",L142,K152)</f>
        <v>¥</v>
      </c>
    </row>
    <row r="152" spans="1:12" ht="15" customHeight="1">
      <c r="C152" s="572"/>
      <c r="D152" s="572"/>
      <c r="E152" s="573"/>
      <c r="F152" s="574" t="str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/>
      </c>
      <c r="G152" s="574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574" t="str">
        <f>IF(AND(K152&gt;=25,K152&lt;30),2.11, IF(AND(K152&gt;=30,K152&lt;35),2.09, IF(AND(K152&gt;=35,K152&lt;40),2.07, IF(AND(K152&gt;=40,K152&lt;45),2.06, IF(AND(K152&gt;=45,K152&lt;50),2.06,"")))))</f>
        <v/>
      </c>
      <c r="I152" s="574">
        <f>IF(AND(K152&gt;=50,K152&lt;60),2.05, IF(AND(K152&gt;=60,K152&lt;80),2.04, IF(AND(K152&gt;=80,K152&lt;100),2.03, IF(K152=100,2.02,IF(K152&gt;100,2," ")))))</f>
        <v>2</v>
      </c>
      <c r="J152" s="575"/>
      <c r="K152" s="575" t="str">
        <f>IF(K142*2&gt;=K150,(K150^4*3)/K142^4,"")</f>
        <v/>
      </c>
      <c r="L152" s="576"/>
    </row>
    <row r="153" spans="1:12" ht="15" customHeight="1">
      <c r="A153" s="533" t="s">
        <v>145</v>
      </c>
      <c r="B153" s="534" t="s">
        <v>166</v>
      </c>
      <c r="C153" s="533"/>
      <c r="D153" s="533"/>
      <c r="E153" s="533" t="s">
        <v>146</v>
      </c>
      <c r="F153" s="535">
        <f>setm10</f>
        <v>1000</v>
      </c>
      <c r="G153" s="535"/>
      <c r="H153" s="536" t="s">
        <v>22</v>
      </c>
      <c r="I153" s="533" t="s">
        <v>147</v>
      </c>
      <c r="J153" s="533">
        <f>rang</f>
        <v>1000</v>
      </c>
      <c r="K153" s="537" t="s">
        <v>22</v>
      </c>
      <c r="L153" s="538"/>
    </row>
    <row r="154" spans="1:12" ht="15" customHeight="1">
      <c r="A154" s="539" t="s">
        <v>148</v>
      </c>
      <c r="B154" s="539" t="s">
        <v>149</v>
      </c>
      <c r="C154" s="540" t="s">
        <v>150</v>
      </c>
      <c r="D154" s="541" t="s">
        <v>151</v>
      </c>
      <c r="E154" s="542"/>
      <c r="F154" s="543" t="s">
        <v>152</v>
      </c>
      <c r="G154" s="544"/>
      <c r="H154" s="539" t="s">
        <v>153</v>
      </c>
      <c r="I154" s="539" t="s">
        <v>154</v>
      </c>
      <c r="J154" s="540" t="s">
        <v>150</v>
      </c>
      <c r="K154" s="545" t="s">
        <v>151</v>
      </c>
      <c r="L154" s="539" t="s">
        <v>155</v>
      </c>
    </row>
    <row r="155" spans="1:12" ht="15" customHeight="1">
      <c r="A155" s="546"/>
      <c r="B155" s="546"/>
      <c r="C155" s="547" t="s">
        <v>156</v>
      </c>
      <c r="D155" s="548" t="s">
        <v>168</v>
      </c>
      <c r="E155" s="549"/>
      <c r="F155" s="550"/>
      <c r="G155" s="551"/>
      <c r="H155" s="546"/>
      <c r="I155" s="546"/>
      <c r="J155" s="547" t="s">
        <v>156</v>
      </c>
      <c r="K155" s="547" t="s">
        <v>168</v>
      </c>
      <c r="L155" s="546"/>
    </row>
    <row r="156" spans="1:12" ht="15" customHeight="1">
      <c r="A156" s="552" t="s">
        <v>205</v>
      </c>
      <c r="B156" s="553" t="s">
        <v>2</v>
      </c>
      <c r="C156" s="547"/>
      <c r="D156" s="554">
        <f>setm10*10^-6</f>
        <v>1E-3</v>
      </c>
      <c r="E156" s="538"/>
      <c r="F156" s="541" t="s">
        <v>159</v>
      </c>
      <c r="G156" s="542"/>
      <c r="H156" s="555">
        <f t="shared" ref="H156:H157" si="20">SQRT(3)</f>
        <v>1.7320508075688772</v>
      </c>
      <c r="I156" s="540">
        <v>1</v>
      </c>
      <c r="J156" s="547"/>
      <c r="K156" s="540">
        <f t="shared" ref="K156:K158" si="21">D156*I156/H156</f>
        <v>5.773502691896258E-4</v>
      </c>
      <c r="L156" s="540" t="s">
        <v>158</v>
      </c>
    </row>
    <row r="157" spans="1:12" ht="15" customHeight="1">
      <c r="A157" s="552" t="s">
        <v>206</v>
      </c>
      <c r="B157" s="540" t="s">
        <v>160</v>
      </c>
      <c r="C157" s="540"/>
      <c r="D157" s="556">
        <f>resuuc/2</f>
        <v>5.0000000000000001E-4</v>
      </c>
      <c r="E157" s="557"/>
      <c r="F157" s="541" t="s">
        <v>159</v>
      </c>
      <c r="G157" s="542"/>
      <c r="H157" s="555">
        <f t="shared" si="20"/>
        <v>1.7320508075688772</v>
      </c>
      <c r="I157" s="540">
        <v>1</v>
      </c>
      <c r="J157" s="540"/>
      <c r="K157" s="540">
        <f t="shared" si="21"/>
        <v>2.886751345948129E-4</v>
      </c>
      <c r="L157" s="540" t="s">
        <v>158</v>
      </c>
    </row>
    <row r="158" spans="1:12" ht="15" customHeight="1">
      <c r="A158" s="552" t="s">
        <v>207</v>
      </c>
      <c r="B158" s="540" t="s">
        <v>161</v>
      </c>
      <c r="C158" s="540"/>
      <c r="D158" s="554">
        <f>uucrep1</f>
        <v>0</v>
      </c>
      <c r="E158" s="557"/>
      <c r="F158" s="541" t="s">
        <v>157</v>
      </c>
      <c r="G158" s="542"/>
      <c r="H158" s="547">
        <v>1</v>
      </c>
      <c r="I158" s="540">
        <v>1</v>
      </c>
      <c r="J158" s="540"/>
      <c r="K158" s="540">
        <f t="shared" si="21"/>
        <v>0</v>
      </c>
      <c r="L158" s="540">
        <f>4-1</f>
        <v>3</v>
      </c>
    </row>
    <row r="159" spans="1:12" ht="15" customHeight="1">
      <c r="A159" s="552"/>
      <c r="B159" s="540"/>
      <c r="C159" s="540"/>
      <c r="D159" s="558"/>
      <c r="E159" s="559"/>
      <c r="F159" s="541"/>
      <c r="G159" s="542"/>
      <c r="H159" s="555"/>
      <c r="I159" s="540"/>
      <c r="J159" s="540"/>
      <c r="K159" s="540"/>
      <c r="L159" s="540"/>
    </row>
    <row r="160" spans="1:12" ht="15" customHeight="1">
      <c r="A160" s="552"/>
      <c r="B160" s="540"/>
      <c r="C160" s="540"/>
      <c r="D160" s="558"/>
      <c r="E160" s="559"/>
      <c r="F160" s="541"/>
      <c r="G160" s="542"/>
      <c r="H160" s="547"/>
      <c r="I160" s="540"/>
      <c r="J160" s="540"/>
      <c r="K160" s="540"/>
      <c r="L160" s="540"/>
    </row>
    <row r="161" spans="1:12" ht="15" customHeight="1">
      <c r="A161" s="552"/>
      <c r="B161" s="540"/>
      <c r="C161" s="540"/>
      <c r="D161" s="558"/>
      <c r="E161" s="559"/>
      <c r="F161" s="541"/>
      <c r="G161" s="542"/>
      <c r="H161" s="547"/>
      <c r="I161" s="540"/>
      <c r="J161" s="540"/>
      <c r="K161" s="540"/>
      <c r="L161" s="540"/>
    </row>
    <row r="162" spans="1:12" ht="15" customHeight="1">
      <c r="A162" s="552"/>
      <c r="B162" s="540"/>
      <c r="C162" s="540"/>
      <c r="D162" s="558"/>
      <c r="E162" s="559"/>
      <c r="F162" s="541"/>
      <c r="G162" s="542"/>
      <c r="H162" s="555"/>
      <c r="I162" s="540"/>
      <c r="J162" s="540"/>
      <c r="K162" s="540"/>
      <c r="L162" s="540"/>
    </row>
    <row r="163" spans="1:12" ht="15" customHeight="1">
      <c r="A163" s="552"/>
      <c r="B163" s="540"/>
      <c r="C163" s="540"/>
      <c r="D163" s="558"/>
      <c r="E163" s="559"/>
      <c r="F163" s="541"/>
      <c r="G163" s="542"/>
      <c r="H163" s="555"/>
      <c r="I163" s="540"/>
      <c r="J163" s="540"/>
      <c r="K163" s="540"/>
      <c r="L163" s="540"/>
    </row>
    <row r="164" spans="1:12" ht="15" customHeight="1">
      <c r="A164" s="552"/>
      <c r="B164" s="540"/>
      <c r="C164" s="540"/>
      <c r="D164" s="558"/>
      <c r="E164" s="559"/>
      <c r="F164" s="541"/>
      <c r="G164" s="542"/>
      <c r="H164" s="555"/>
      <c r="I164" s="540"/>
      <c r="J164" s="540"/>
      <c r="K164" s="540"/>
      <c r="L164" s="540"/>
    </row>
    <row r="165" spans="1:12" ht="15" customHeight="1">
      <c r="A165" s="552" t="s">
        <v>5</v>
      </c>
      <c r="B165" s="540" t="s">
        <v>162</v>
      </c>
      <c r="C165" s="560"/>
      <c r="D165" s="561"/>
      <c r="E165" s="561"/>
      <c r="F165" s="562" t="str">
        <f>IF(G166=2,"Normal","T-Distibution")</f>
        <v>Normal</v>
      </c>
      <c r="G165" s="563"/>
      <c r="H165" s="560"/>
      <c r="I165" s="564"/>
      <c r="J165" s="540"/>
      <c r="K165" s="540">
        <f>SQRT(SUMSQ(K156:K164))</f>
        <v>6.4549722436790281E-4</v>
      </c>
      <c r="L165" s="565" t="str">
        <f>IF(K167="",L157,K167)</f>
        <v>¥</v>
      </c>
    </row>
    <row r="166" spans="1:12" ht="15" customHeight="1">
      <c r="A166" s="540" t="s">
        <v>163</v>
      </c>
      <c r="B166" s="540" t="s">
        <v>164</v>
      </c>
      <c r="C166" s="566"/>
      <c r="D166" s="567"/>
      <c r="E166" s="567"/>
      <c r="F166" s="568" t="s">
        <v>165</v>
      </c>
      <c r="G166" s="569">
        <f>MAX(F167:I167)</f>
        <v>2</v>
      </c>
      <c r="H166" s="566"/>
      <c r="I166" s="570"/>
      <c r="J166" s="540"/>
      <c r="K166" s="571">
        <f>ROUNDUP((K165*G166),5)</f>
        <v>1.2999999999999999E-3</v>
      </c>
      <c r="L166" s="565" t="str">
        <f>IF(K167="",L157,K167)</f>
        <v>¥</v>
      </c>
    </row>
    <row r="167" spans="1:12" ht="15" customHeight="1">
      <c r="C167" s="572"/>
      <c r="D167" s="572"/>
      <c r="E167" s="573"/>
      <c r="F167" s="574" t="str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/>
      </c>
      <c r="G167" s="574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574" t="str">
        <f>IF(AND(K167&gt;=25,K167&lt;30),2.11, IF(AND(K167&gt;=30,K167&lt;35),2.09, IF(AND(K167&gt;=35,K167&lt;40),2.07, IF(AND(K167&gt;=40,K167&lt;45),2.06, IF(AND(K167&gt;=45,K167&lt;50),2.06,"")))))</f>
        <v/>
      </c>
      <c r="I167" s="574">
        <f>IF(AND(K167&gt;=50,K167&lt;60),2.05, IF(AND(K167&gt;=60,K167&lt;80),2.04, IF(AND(K167&gt;=80,K167&lt;100),2.03, IF(K167=100,2.02,IF(K167&gt;100,2," ")))))</f>
        <v>2</v>
      </c>
      <c r="J167" s="575"/>
      <c r="K167" s="575" t="str">
        <f>IF(K157*2&gt;=K165,(K165^4*3)/K157^4,"")</f>
        <v/>
      </c>
      <c r="L167" s="576"/>
    </row>
  </sheetData>
  <mergeCells count="210"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Z24" sqref="Z24"/>
    </sheetView>
  </sheetViews>
  <sheetFormatPr defaultRowHeight="12"/>
  <cols>
    <col min="1" max="1" width="3.5703125" style="505" customWidth="1"/>
    <col min="2" max="2" width="5.5703125" style="506" customWidth="1"/>
    <col min="3" max="3" width="3.5703125" style="506" customWidth="1"/>
    <col min="4" max="4" width="8.28515625" style="506" customWidth="1"/>
    <col min="5" max="5" width="3.5703125" style="506" customWidth="1"/>
    <col min="6" max="6" width="1.5703125" style="506" customWidth="1"/>
    <col min="7" max="7" width="5.5703125" style="506" customWidth="1"/>
    <col min="8" max="8" width="3.42578125" style="506" customWidth="1"/>
    <col min="9" max="9" width="9.42578125" style="506" customWidth="1"/>
    <col min="10" max="10" width="3.5703125" style="506" customWidth="1"/>
    <col min="11" max="11" width="1.5703125" style="506" customWidth="1"/>
    <col min="12" max="12" width="5.5703125" style="506" customWidth="1"/>
    <col min="13" max="13" width="3.42578125" style="506" customWidth="1"/>
    <col min="14" max="14" width="9.7109375" style="506" customWidth="1"/>
    <col min="15" max="15" width="3.5703125" style="506" customWidth="1"/>
    <col min="16" max="16" width="1.5703125" style="506" customWidth="1"/>
    <col min="17" max="17" width="3.42578125" style="506" customWidth="1"/>
    <col min="18" max="18" width="4.5703125" style="506" customWidth="1"/>
    <col min="19" max="19" width="3.42578125" style="506" customWidth="1"/>
    <col min="20" max="20" width="9.7109375" style="506" customWidth="1"/>
    <col min="21" max="21" width="3.5703125" style="506" customWidth="1"/>
    <col min="22" max="16384" width="9.140625" style="505"/>
  </cols>
  <sheetData>
    <row r="1" spans="2:22"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</row>
    <row r="3" spans="2:22">
      <c r="F3" s="507"/>
    </row>
    <row r="5" spans="2:22">
      <c r="B5" s="508" t="s">
        <v>11</v>
      </c>
      <c r="C5" s="509"/>
      <c r="D5" s="509"/>
      <c r="E5" s="510"/>
      <c r="G5" s="508" t="s">
        <v>12</v>
      </c>
      <c r="H5" s="509"/>
      <c r="I5" s="509"/>
      <c r="J5" s="510"/>
      <c r="L5" s="508" t="s">
        <v>13</v>
      </c>
      <c r="M5" s="509"/>
      <c r="N5" s="509"/>
      <c r="O5" s="510"/>
      <c r="Q5" s="508" t="s">
        <v>14</v>
      </c>
      <c r="R5" s="509"/>
      <c r="S5" s="509"/>
      <c r="T5" s="509"/>
      <c r="U5" s="510"/>
    </row>
    <row r="6" spans="2:22">
      <c r="B6" s="511" t="s">
        <v>15</v>
      </c>
      <c r="C6" s="512"/>
      <c r="D6" s="512"/>
      <c r="E6" s="513"/>
      <c r="G6" s="511" t="s">
        <v>16</v>
      </c>
      <c r="H6" s="512"/>
      <c r="I6" s="512"/>
      <c r="J6" s="513"/>
      <c r="L6" s="511" t="s">
        <v>17</v>
      </c>
      <c r="M6" s="512"/>
      <c r="N6" s="512"/>
      <c r="O6" s="513"/>
      <c r="Q6" s="511" t="s">
        <v>18</v>
      </c>
      <c r="R6" s="512"/>
      <c r="S6" s="512"/>
      <c r="T6" s="512"/>
      <c r="U6" s="513"/>
    </row>
    <row r="7" spans="2:22">
      <c r="B7" s="514" t="s">
        <v>19</v>
      </c>
      <c r="C7" s="515"/>
      <c r="D7" s="515"/>
      <c r="E7" s="516"/>
      <c r="G7" s="514" t="s">
        <v>19</v>
      </c>
      <c r="H7" s="515"/>
      <c r="I7" s="515"/>
      <c r="J7" s="516"/>
      <c r="L7" s="514" t="s">
        <v>19</v>
      </c>
      <c r="M7" s="515"/>
      <c r="N7" s="515"/>
      <c r="O7" s="516"/>
      <c r="Q7" s="517" t="s">
        <v>20</v>
      </c>
      <c r="R7" s="514" t="s">
        <v>19</v>
      </c>
      <c r="S7" s="515"/>
      <c r="T7" s="515"/>
      <c r="U7" s="516"/>
    </row>
    <row r="8" spans="2:22">
      <c r="B8" s="518">
        <v>42550</v>
      </c>
      <c r="C8" s="519"/>
      <c r="D8" s="519"/>
      <c r="E8" s="520"/>
      <c r="G8" s="518">
        <v>42550</v>
      </c>
      <c r="H8" s="519"/>
      <c r="I8" s="519"/>
      <c r="J8" s="520"/>
      <c r="L8" s="518">
        <v>42601</v>
      </c>
      <c r="M8" s="519"/>
      <c r="N8" s="519"/>
      <c r="O8" s="520"/>
      <c r="Q8" s="521"/>
      <c r="R8" s="518">
        <v>42706</v>
      </c>
      <c r="S8" s="519"/>
      <c r="T8" s="519"/>
      <c r="U8" s="520"/>
    </row>
    <row r="9" spans="2:22">
      <c r="B9" s="522">
        <v>10</v>
      </c>
      <c r="C9" s="523" t="s">
        <v>21</v>
      </c>
      <c r="D9" s="524">
        <v>0.01</v>
      </c>
      <c r="E9" s="525" t="s">
        <v>21</v>
      </c>
      <c r="G9" s="522">
        <v>1</v>
      </c>
      <c r="H9" s="526" t="s">
        <v>22</v>
      </c>
      <c r="I9" s="524">
        <v>0.02</v>
      </c>
      <c r="J9" s="525" t="s">
        <v>21</v>
      </c>
      <c r="L9" s="522">
        <v>10</v>
      </c>
      <c r="M9" s="526" t="s">
        <v>22</v>
      </c>
      <c r="N9" s="524">
        <v>3.5000000000000003E-2</v>
      </c>
      <c r="O9" s="525" t="s">
        <v>21</v>
      </c>
      <c r="Q9" s="527">
        <v>1</v>
      </c>
      <c r="R9" s="522">
        <v>5</v>
      </c>
      <c r="S9" s="526" t="s">
        <v>23</v>
      </c>
      <c r="T9" s="524">
        <v>16</v>
      </c>
      <c r="U9" s="525" t="s">
        <v>21</v>
      </c>
    </row>
    <row r="10" spans="2:22">
      <c r="B10" s="522">
        <v>20</v>
      </c>
      <c r="C10" s="523" t="s">
        <v>21</v>
      </c>
      <c r="D10" s="524">
        <v>0.01</v>
      </c>
      <c r="E10" s="525" t="s">
        <v>21</v>
      </c>
      <c r="G10" s="522">
        <v>2</v>
      </c>
      <c r="H10" s="526" t="s">
        <v>24</v>
      </c>
      <c r="I10" s="524">
        <v>0.03</v>
      </c>
      <c r="J10" s="525" t="s">
        <v>25</v>
      </c>
      <c r="L10" s="522">
        <v>20</v>
      </c>
      <c r="M10" s="526" t="s">
        <v>22</v>
      </c>
      <c r="N10" s="524">
        <v>4.2000000000000003E-2</v>
      </c>
      <c r="O10" s="525" t="s">
        <v>21</v>
      </c>
      <c r="Q10" s="527">
        <v>2</v>
      </c>
      <c r="R10" s="522">
        <v>5</v>
      </c>
      <c r="S10" s="526" t="s">
        <v>23</v>
      </c>
      <c r="T10" s="524">
        <v>16</v>
      </c>
      <c r="U10" s="525" t="s">
        <v>21</v>
      </c>
    </row>
    <row r="11" spans="2:22">
      <c r="B11" s="522">
        <v>20</v>
      </c>
      <c r="C11" s="523" t="s">
        <v>21</v>
      </c>
      <c r="D11" s="524">
        <v>0.01</v>
      </c>
      <c r="E11" s="525" t="s">
        <v>25</v>
      </c>
      <c r="G11" s="522">
        <v>2</v>
      </c>
      <c r="H11" s="526" t="s">
        <v>22</v>
      </c>
      <c r="I11" s="524">
        <v>0.03</v>
      </c>
      <c r="J11" s="525" t="s">
        <v>21</v>
      </c>
      <c r="L11" s="522">
        <v>50</v>
      </c>
      <c r="M11" s="526" t="s">
        <v>22</v>
      </c>
      <c r="N11" s="524">
        <v>4.9000000000000002E-2</v>
      </c>
      <c r="O11" s="525" t="s">
        <v>21</v>
      </c>
      <c r="Q11" s="527">
        <v>1</v>
      </c>
      <c r="R11" s="522">
        <v>10</v>
      </c>
      <c r="S11" s="526" t="s">
        <v>23</v>
      </c>
      <c r="T11" s="524">
        <v>31</v>
      </c>
      <c r="U11" s="525" t="s">
        <v>21</v>
      </c>
    </row>
    <row r="12" spans="2:22">
      <c r="B12" s="522">
        <v>50</v>
      </c>
      <c r="C12" s="523" t="s">
        <v>21</v>
      </c>
      <c r="D12" s="524">
        <v>0.01</v>
      </c>
      <c r="E12" s="525" t="s">
        <v>21</v>
      </c>
      <c r="G12" s="522">
        <v>5</v>
      </c>
      <c r="H12" s="526" t="s">
        <v>22</v>
      </c>
      <c r="I12" s="524">
        <v>0.04</v>
      </c>
      <c r="J12" s="525" t="s">
        <v>21</v>
      </c>
      <c r="L12" s="522">
        <v>100</v>
      </c>
      <c r="M12" s="526" t="s">
        <v>22</v>
      </c>
      <c r="N12" s="524">
        <v>0.11</v>
      </c>
      <c r="O12" s="525" t="s">
        <v>21</v>
      </c>
      <c r="Q12" s="527">
        <v>2</v>
      </c>
      <c r="R12" s="522">
        <v>10</v>
      </c>
      <c r="S12" s="526" t="s">
        <v>23</v>
      </c>
      <c r="T12" s="524">
        <v>31</v>
      </c>
      <c r="U12" s="525" t="s">
        <v>21</v>
      </c>
    </row>
    <row r="13" spans="2:22">
      <c r="B13" s="522">
        <v>100</v>
      </c>
      <c r="C13" s="523" t="s">
        <v>21</v>
      </c>
      <c r="D13" s="524">
        <v>0.01</v>
      </c>
      <c r="E13" s="525" t="s">
        <v>21</v>
      </c>
      <c r="G13" s="522">
        <v>10</v>
      </c>
      <c r="H13" s="526" t="s">
        <v>22</v>
      </c>
      <c r="I13" s="524">
        <v>0.04</v>
      </c>
      <c r="J13" s="525" t="s">
        <v>21</v>
      </c>
      <c r="L13" s="522">
        <v>200</v>
      </c>
      <c r="M13" s="526" t="s">
        <v>22</v>
      </c>
      <c r="N13" s="524">
        <v>0.17</v>
      </c>
      <c r="O13" s="525" t="s">
        <v>21</v>
      </c>
      <c r="Q13" s="527">
        <v>1</v>
      </c>
      <c r="R13" s="522">
        <v>20</v>
      </c>
      <c r="S13" s="526" t="s">
        <v>23</v>
      </c>
      <c r="T13" s="524">
        <v>54</v>
      </c>
      <c r="U13" s="525" t="s">
        <v>21</v>
      </c>
    </row>
    <row r="14" spans="2:22">
      <c r="B14" s="522">
        <v>200</v>
      </c>
      <c r="C14" s="523" t="s">
        <v>21</v>
      </c>
      <c r="D14" s="524">
        <v>0.01</v>
      </c>
      <c r="E14" s="525" t="s">
        <v>21</v>
      </c>
      <c r="G14" s="522">
        <v>20</v>
      </c>
      <c r="H14" s="526" t="s">
        <v>22</v>
      </c>
      <c r="I14" s="524">
        <v>0.05</v>
      </c>
      <c r="J14" s="525" t="s">
        <v>21</v>
      </c>
      <c r="L14" s="522">
        <v>500</v>
      </c>
      <c r="M14" s="526" t="s">
        <v>22</v>
      </c>
      <c r="N14" s="524">
        <v>0.4</v>
      </c>
      <c r="O14" s="525" t="s">
        <v>21</v>
      </c>
      <c r="Q14" s="527">
        <v>2</v>
      </c>
      <c r="R14" s="522">
        <v>20</v>
      </c>
      <c r="S14" s="526" t="s">
        <v>23</v>
      </c>
      <c r="T14" s="524">
        <v>54</v>
      </c>
      <c r="U14" s="525" t="s">
        <v>21</v>
      </c>
    </row>
    <row r="15" spans="2:22">
      <c r="B15" s="522">
        <v>500</v>
      </c>
      <c r="C15" s="523" t="s">
        <v>21</v>
      </c>
      <c r="D15" s="524">
        <v>0.01</v>
      </c>
      <c r="E15" s="525" t="s">
        <v>21</v>
      </c>
      <c r="G15" s="522">
        <v>20</v>
      </c>
      <c r="H15" s="526" t="s">
        <v>24</v>
      </c>
      <c r="I15" s="524">
        <v>0.05</v>
      </c>
      <c r="J15" s="525" t="s">
        <v>25</v>
      </c>
      <c r="L15" s="522">
        <v>1</v>
      </c>
      <c r="M15" s="526" t="s">
        <v>23</v>
      </c>
      <c r="N15" s="524">
        <v>1.7</v>
      </c>
      <c r="O15" s="525" t="s">
        <v>21</v>
      </c>
      <c r="Q15" s="527">
        <v>3</v>
      </c>
      <c r="R15" s="522">
        <v>20</v>
      </c>
      <c r="S15" s="526" t="s">
        <v>23</v>
      </c>
      <c r="T15" s="524">
        <v>54</v>
      </c>
      <c r="U15" s="525" t="s">
        <v>21</v>
      </c>
    </row>
    <row r="16" spans="2:22">
      <c r="G16" s="522">
        <v>50</v>
      </c>
      <c r="H16" s="526" t="s">
        <v>22</v>
      </c>
      <c r="I16" s="524">
        <v>0.1</v>
      </c>
      <c r="J16" s="525" t="s">
        <v>21</v>
      </c>
      <c r="L16" s="522">
        <v>2</v>
      </c>
      <c r="M16" s="526" t="s">
        <v>23</v>
      </c>
      <c r="N16" s="524">
        <v>2</v>
      </c>
      <c r="O16" s="525" t="s">
        <v>21</v>
      </c>
      <c r="Q16" s="527">
        <v>4</v>
      </c>
      <c r="R16" s="522">
        <v>20</v>
      </c>
      <c r="S16" s="526" t="s">
        <v>23</v>
      </c>
      <c r="T16" s="524">
        <v>54</v>
      </c>
      <c r="U16" s="525" t="s">
        <v>21</v>
      </c>
    </row>
    <row r="17" spans="7:21">
      <c r="G17" s="522">
        <v>100</v>
      </c>
      <c r="H17" s="526" t="s">
        <v>22</v>
      </c>
      <c r="I17" s="524">
        <v>0.2</v>
      </c>
      <c r="J17" s="525" t="s">
        <v>21</v>
      </c>
      <c r="L17" s="522">
        <v>10</v>
      </c>
      <c r="M17" s="526" t="s">
        <v>23</v>
      </c>
      <c r="N17" s="524">
        <v>12</v>
      </c>
      <c r="O17" s="525" t="s">
        <v>21</v>
      </c>
      <c r="Q17" s="527">
        <v>5</v>
      </c>
      <c r="R17" s="522">
        <v>20</v>
      </c>
      <c r="S17" s="526" t="s">
        <v>23</v>
      </c>
      <c r="T17" s="524">
        <v>54</v>
      </c>
      <c r="U17" s="525" t="s">
        <v>21</v>
      </c>
    </row>
    <row r="18" spans="7:21">
      <c r="G18" s="522">
        <v>200</v>
      </c>
      <c r="H18" s="526" t="s">
        <v>22</v>
      </c>
      <c r="I18" s="524">
        <v>0.4</v>
      </c>
      <c r="J18" s="525" t="s">
        <v>21</v>
      </c>
      <c r="L18" s="522">
        <v>20</v>
      </c>
      <c r="M18" s="526" t="s">
        <v>23</v>
      </c>
      <c r="N18" s="524">
        <v>18</v>
      </c>
      <c r="O18" s="525" t="s">
        <v>21</v>
      </c>
      <c r="Q18" s="527">
        <v>6</v>
      </c>
      <c r="R18" s="522">
        <v>20</v>
      </c>
      <c r="S18" s="526" t="s">
        <v>23</v>
      </c>
      <c r="T18" s="524">
        <v>54</v>
      </c>
      <c r="U18" s="525" t="s">
        <v>21</v>
      </c>
    </row>
    <row r="19" spans="7:21">
      <c r="G19" s="522">
        <v>200</v>
      </c>
      <c r="H19" s="526" t="s">
        <v>24</v>
      </c>
      <c r="I19" s="524">
        <v>0.4</v>
      </c>
      <c r="J19" s="525" t="s">
        <v>25</v>
      </c>
      <c r="L19" s="528"/>
      <c r="M19" s="529"/>
      <c r="N19" s="528"/>
      <c r="O19" s="529"/>
      <c r="Q19" s="527">
        <v>7</v>
      </c>
      <c r="R19" s="522">
        <v>20</v>
      </c>
      <c r="S19" s="526" t="s">
        <v>23</v>
      </c>
      <c r="T19" s="524">
        <v>54</v>
      </c>
      <c r="U19" s="525" t="s">
        <v>21</v>
      </c>
    </row>
    <row r="20" spans="7:21">
      <c r="G20" s="522">
        <v>500</v>
      </c>
      <c r="H20" s="526" t="s">
        <v>22</v>
      </c>
      <c r="I20" s="524">
        <v>2</v>
      </c>
      <c r="J20" s="525" t="s">
        <v>21</v>
      </c>
      <c r="L20" s="528"/>
      <c r="M20" s="529"/>
      <c r="N20" s="528"/>
      <c r="O20" s="529"/>
      <c r="Q20" s="527">
        <v>8</v>
      </c>
      <c r="R20" s="522">
        <v>20</v>
      </c>
      <c r="S20" s="526" t="s">
        <v>23</v>
      </c>
      <c r="T20" s="524">
        <v>54</v>
      </c>
      <c r="U20" s="525" t="s">
        <v>21</v>
      </c>
    </row>
    <row r="21" spans="7:21">
      <c r="G21" s="522">
        <v>1</v>
      </c>
      <c r="H21" s="526" t="s">
        <v>23</v>
      </c>
      <c r="I21" s="524">
        <v>2</v>
      </c>
      <c r="J21" s="525" t="s">
        <v>21</v>
      </c>
      <c r="L21" s="528"/>
      <c r="M21" s="529"/>
      <c r="N21" s="528"/>
      <c r="O21" s="529"/>
      <c r="Q21" s="527">
        <v>9</v>
      </c>
      <c r="R21" s="522">
        <v>20</v>
      </c>
      <c r="S21" s="526" t="s">
        <v>23</v>
      </c>
      <c r="T21" s="524">
        <v>54</v>
      </c>
      <c r="U21" s="525" t="s">
        <v>21</v>
      </c>
    </row>
    <row r="22" spans="7:21">
      <c r="G22" s="522">
        <v>1</v>
      </c>
      <c r="H22" s="526" t="s">
        <v>26</v>
      </c>
      <c r="I22" s="524">
        <v>2</v>
      </c>
      <c r="J22" s="525" t="s">
        <v>21</v>
      </c>
      <c r="Q22" s="527">
        <v>10</v>
      </c>
      <c r="R22" s="522">
        <v>20</v>
      </c>
      <c r="S22" s="526" t="s">
        <v>23</v>
      </c>
      <c r="T22" s="524">
        <v>54</v>
      </c>
      <c r="U22" s="525" t="s">
        <v>21</v>
      </c>
    </row>
    <row r="23" spans="7:21">
      <c r="G23" s="522">
        <v>2</v>
      </c>
      <c r="H23" s="526" t="s">
        <v>23</v>
      </c>
      <c r="I23" s="524">
        <v>4</v>
      </c>
      <c r="J23" s="525" t="s">
        <v>21</v>
      </c>
      <c r="Q23" s="527">
        <v>11</v>
      </c>
      <c r="R23" s="522">
        <v>20</v>
      </c>
      <c r="S23" s="526" t="s">
        <v>23</v>
      </c>
      <c r="T23" s="524">
        <v>54</v>
      </c>
      <c r="U23" s="525" t="s">
        <v>21</v>
      </c>
    </row>
    <row r="24" spans="7:21">
      <c r="G24" s="522">
        <v>5</v>
      </c>
      <c r="H24" s="526" t="s">
        <v>23</v>
      </c>
      <c r="I24" s="524">
        <v>10</v>
      </c>
      <c r="J24" s="525" t="s">
        <v>21</v>
      </c>
      <c r="Q24" s="527">
        <v>12</v>
      </c>
      <c r="R24" s="522">
        <v>20</v>
      </c>
      <c r="S24" s="526" t="s">
        <v>23</v>
      </c>
      <c r="T24" s="524">
        <v>54</v>
      </c>
      <c r="U24" s="525" t="s">
        <v>21</v>
      </c>
    </row>
    <row r="25" spans="7:21">
      <c r="Q25" s="527">
        <v>13</v>
      </c>
      <c r="R25" s="522">
        <v>20</v>
      </c>
      <c r="S25" s="526" t="s">
        <v>23</v>
      </c>
      <c r="T25" s="524">
        <v>54</v>
      </c>
      <c r="U25" s="525" t="s">
        <v>21</v>
      </c>
    </row>
    <row r="26" spans="7:21">
      <c r="Q26" s="527">
        <v>14</v>
      </c>
      <c r="R26" s="522">
        <v>20</v>
      </c>
      <c r="S26" s="526" t="s">
        <v>23</v>
      </c>
      <c r="T26" s="524">
        <v>54</v>
      </c>
      <c r="U26" s="525" t="s">
        <v>21</v>
      </c>
    </row>
    <row r="27" spans="7:21">
      <c r="Q27" s="527">
        <v>15</v>
      </c>
      <c r="R27" s="522">
        <v>20</v>
      </c>
      <c r="S27" s="526" t="s">
        <v>23</v>
      </c>
      <c r="T27" s="524">
        <v>54</v>
      </c>
      <c r="U27" s="525" t="s">
        <v>21</v>
      </c>
    </row>
    <row r="28" spans="7:21">
      <c r="Q28" s="527">
        <v>16</v>
      </c>
      <c r="R28" s="522">
        <v>20</v>
      </c>
      <c r="S28" s="526" t="s">
        <v>23</v>
      </c>
      <c r="T28" s="524">
        <v>54</v>
      </c>
      <c r="U28" s="525" t="s">
        <v>21</v>
      </c>
    </row>
    <row r="29" spans="7:21">
      <c r="Q29" s="527">
        <v>17</v>
      </c>
      <c r="R29" s="522">
        <v>20</v>
      </c>
      <c r="S29" s="526" t="s">
        <v>23</v>
      </c>
      <c r="T29" s="524">
        <v>54</v>
      </c>
      <c r="U29" s="525" t="s">
        <v>21</v>
      </c>
    </row>
    <row r="30" spans="7:21">
      <c r="Q30" s="527">
        <v>18</v>
      </c>
      <c r="R30" s="522">
        <v>20</v>
      </c>
      <c r="S30" s="526" t="s">
        <v>23</v>
      </c>
      <c r="T30" s="524">
        <v>54</v>
      </c>
      <c r="U30" s="525" t="s">
        <v>21</v>
      </c>
    </row>
    <row r="31" spans="7:21">
      <c r="Q31" s="527">
        <v>19</v>
      </c>
      <c r="R31" s="522">
        <v>20</v>
      </c>
      <c r="S31" s="526" t="s">
        <v>23</v>
      </c>
      <c r="T31" s="524">
        <v>54</v>
      </c>
      <c r="U31" s="525" t="s">
        <v>21</v>
      </c>
    </row>
    <row r="32" spans="7:21">
      <c r="Q32" s="527">
        <v>20</v>
      </c>
      <c r="R32" s="522">
        <v>20</v>
      </c>
      <c r="S32" s="526" t="s">
        <v>23</v>
      </c>
      <c r="T32" s="524">
        <v>54</v>
      </c>
      <c r="U32" s="525" t="s">
        <v>21</v>
      </c>
    </row>
    <row r="33" spans="17:21">
      <c r="Q33" s="527">
        <v>21</v>
      </c>
      <c r="R33" s="522">
        <v>20</v>
      </c>
      <c r="S33" s="526" t="s">
        <v>23</v>
      </c>
      <c r="T33" s="524">
        <v>54</v>
      </c>
      <c r="U33" s="525" t="s">
        <v>21</v>
      </c>
    </row>
    <row r="34" spans="17:21">
      <c r="Q34" s="527">
        <v>22</v>
      </c>
      <c r="R34" s="522">
        <v>20</v>
      </c>
      <c r="S34" s="526" t="s">
        <v>23</v>
      </c>
      <c r="T34" s="524">
        <v>54</v>
      </c>
      <c r="U34" s="525" t="s">
        <v>21</v>
      </c>
    </row>
    <row r="35" spans="17:21">
      <c r="Q35" s="527">
        <v>23</v>
      </c>
      <c r="R35" s="522">
        <v>20</v>
      </c>
      <c r="S35" s="526" t="s">
        <v>23</v>
      </c>
      <c r="T35" s="524">
        <v>54</v>
      </c>
      <c r="U35" s="525" t="s">
        <v>21</v>
      </c>
    </row>
    <row r="36" spans="17:21">
      <c r="Q36" s="527">
        <v>24</v>
      </c>
      <c r="R36" s="522">
        <v>20</v>
      </c>
      <c r="S36" s="526" t="s">
        <v>23</v>
      </c>
      <c r="T36" s="524">
        <v>54</v>
      </c>
      <c r="U36" s="525" t="s">
        <v>21</v>
      </c>
    </row>
    <row r="37" spans="17:21">
      <c r="Q37" s="527">
        <v>25</v>
      </c>
      <c r="R37" s="522">
        <v>20</v>
      </c>
      <c r="S37" s="526" t="s">
        <v>23</v>
      </c>
      <c r="T37" s="524">
        <v>54</v>
      </c>
      <c r="U37" s="525" t="s">
        <v>21</v>
      </c>
    </row>
    <row r="38" spans="17:21">
      <c r="Q38" s="527">
        <v>26</v>
      </c>
      <c r="R38" s="522">
        <v>20</v>
      </c>
      <c r="S38" s="526" t="s">
        <v>23</v>
      </c>
      <c r="T38" s="524">
        <v>54</v>
      </c>
      <c r="U38" s="525" t="s">
        <v>21</v>
      </c>
    </row>
    <row r="39" spans="17:21">
      <c r="Q39" s="527">
        <v>27</v>
      </c>
      <c r="R39" s="522">
        <v>20</v>
      </c>
      <c r="S39" s="526" t="s">
        <v>23</v>
      </c>
      <c r="T39" s="524">
        <v>54</v>
      </c>
      <c r="U39" s="525" t="s">
        <v>21</v>
      </c>
    </row>
    <row r="40" spans="17:21">
      <c r="Q40" s="527">
        <v>28</v>
      </c>
      <c r="R40" s="522">
        <v>20</v>
      </c>
      <c r="S40" s="526" t="s">
        <v>23</v>
      </c>
      <c r="T40" s="524">
        <v>54</v>
      </c>
      <c r="U40" s="525" t="s">
        <v>21</v>
      </c>
    </row>
    <row r="41" spans="17:21">
      <c r="Q41" s="527">
        <v>29</v>
      </c>
      <c r="R41" s="522">
        <v>20</v>
      </c>
      <c r="S41" s="526" t="s">
        <v>23</v>
      </c>
      <c r="T41" s="524">
        <v>54</v>
      </c>
      <c r="U41" s="525" t="s">
        <v>21</v>
      </c>
    </row>
    <row r="42" spans="17:21">
      <c r="Q42" s="527">
        <v>30</v>
      </c>
      <c r="R42" s="522">
        <v>20</v>
      </c>
      <c r="S42" s="526" t="s">
        <v>23</v>
      </c>
      <c r="T42" s="524">
        <v>54</v>
      </c>
      <c r="U42" s="525" t="s">
        <v>21</v>
      </c>
    </row>
    <row r="43" spans="17:21">
      <c r="Q43" s="527">
        <v>31</v>
      </c>
      <c r="R43" s="522">
        <v>20</v>
      </c>
      <c r="S43" s="526" t="s">
        <v>23</v>
      </c>
      <c r="T43" s="524">
        <v>54</v>
      </c>
      <c r="U43" s="525" t="s">
        <v>21</v>
      </c>
    </row>
    <row r="44" spans="17:21">
      <c r="Q44" s="527">
        <v>32</v>
      </c>
      <c r="R44" s="522">
        <v>20</v>
      </c>
      <c r="S44" s="526" t="s">
        <v>23</v>
      </c>
      <c r="T44" s="524">
        <v>54</v>
      </c>
      <c r="U44" s="525" t="s">
        <v>21</v>
      </c>
    </row>
    <row r="45" spans="17:21">
      <c r="Q45" s="527">
        <v>33</v>
      </c>
      <c r="R45" s="522">
        <v>20</v>
      </c>
      <c r="S45" s="526" t="s">
        <v>23</v>
      </c>
      <c r="T45" s="524">
        <v>54</v>
      </c>
      <c r="U45" s="525" t="s">
        <v>21</v>
      </c>
    </row>
    <row r="46" spans="17:21">
      <c r="Q46" s="527">
        <v>34</v>
      </c>
      <c r="R46" s="522">
        <v>20</v>
      </c>
      <c r="S46" s="526" t="s">
        <v>23</v>
      </c>
      <c r="T46" s="524">
        <v>54</v>
      </c>
      <c r="U46" s="525" t="s">
        <v>21</v>
      </c>
    </row>
    <row r="47" spans="17:21">
      <c r="Q47" s="527">
        <v>35</v>
      </c>
      <c r="R47" s="522">
        <v>20</v>
      </c>
      <c r="S47" s="526" t="s">
        <v>23</v>
      </c>
      <c r="T47" s="524">
        <v>54</v>
      </c>
      <c r="U47" s="525" t="s">
        <v>21</v>
      </c>
    </row>
    <row r="48" spans="17:21">
      <c r="Q48" s="527">
        <v>36</v>
      </c>
      <c r="R48" s="522">
        <v>20</v>
      </c>
      <c r="S48" s="526" t="s">
        <v>23</v>
      </c>
      <c r="T48" s="524">
        <v>54</v>
      </c>
      <c r="U48" s="525" t="s">
        <v>21</v>
      </c>
    </row>
    <row r="49" spans="17:21">
      <c r="Q49" s="527">
        <v>37</v>
      </c>
      <c r="R49" s="522">
        <v>20</v>
      </c>
      <c r="S49" s="526" t="s">
        <v>23</v>
      </c>
      <c r="T49" s="524">
        <v>54</v>
      </c>
      <c r="U49" s="525" t="s">
        <v>21</v>
      </c>
    </row>
    <row r="50" spans="17:21">
      <c r="Q50" s="527">
        <v>38</v>
      </c>
      <c r="R50" s="522">
        <v>20</v>
      </c>
      <c r="S50" s="526" t="s">
        <v>23</v>
      </c>
      <c r="T50" s="524">
        <v>54</v>
      </c>
      <c r="U50" s="525" t="s">
        <v>21</v>
      </c>
    </row>
    <row r="51" spans="17:21">
      <c r="Q51" s="527">
        <v>39</v>
      </c>
      <c r="R51" s="522">
        <v>20</v>
      </c>
      <c r="S51" s="526" t="s">
        <v>23</v>
      </c>
      <c r="T51" s="524">
        <v>54</v>
      </c>
      <c r="U51" s="525" t="s">
        <v>21</v>
      </c>
    </row>
    <row r="52" spans="17:21">
      <c r="Q52" s="527">
        <v>40</v>
      </c>
      <c r="R52" s="522">
        <v>20</v>
      </c>
      <c r="S52" s="526" t="s">
        <v>23</v>
      </c>
      <c r="T52" s="524">
        <v>54</v>
      </c>
      <c r="U52" s="525" t="s">
        <v>21</v>
      </c>
    </row>
    <row r="53" spans="17:21">
      <c r="Q53" s="527">
        <v>41</v>
      </c>
      <c r="R53" s="522">
        <v>20</v>
      </c>
      <c r="S53" s="526" t="s">
        <v>23</v>
      </c>
      <c r="T53" s="524">
        <v>54</v>
      </c>
      <c r="U53" s="525" t="s">
        <v>21</v>
      </c>
    </row>
    <row r="54" spans="17:21">
      <c r="Q54" s="527">
        <v>42</v>
      </c>
      <c r="R54" s="522">
        <v>20</v>
      </c>
      <c r="S54" s="526" t="s">
        <v>23</v>
      </c>
      <c r="T54" s="524">
        <v>54</v>
      </c>
      <c r="U54" s="525" t="s">
        <v>21</v>
      </c>
    </row>
    <row r="55" spans="17:21">
      <c r="Q55" s="527">
        <v>43</v>
      </c>
      <c r="R55" s="522">
        <v>20</v>
      </c>
      <c r="S55" s="526" t="s">
        <v>23</v>
      </c>
      <c r="T55" s="524">
        <v>54</v>
      </c>
      <c r="U55" s="525" t="s">
        <v>21</v>
      </c>
    </row>
    <row r="56" spans="17:21">
      <c r="Q56" s="527">
        <v>44</v>
      </c>
      <c r="R56" s="522">
        <v>20</v>
      </c>
      <c r="S56" s="526" t="s">
        <v>23</v>
      </c>
      <c r="T56" s="524">
        <v>54</v>
      </c>
      <c r="U56" s="525" t="s">
        <v>21</v>
      </c>
    </row>
    <row r="57" spans="17:21">
      <c r="Q57" s="527">
        <v>45</v>
      </c>
      <c r="R57" s="522">
        <v>20</v>
      </c>
      <c r="S57" s="526" t="s">
        <v>23</v>
      </c>
      <c r="T57" s="524">
        <v>54</v>
      </c>
      <c r="U57" s="525" t="s">
        <v>21</v>
      </c>
    </row>
    <row r="58" spans="17:21">
      <c r="Q58" s="527">
        <v>46</v>
      </c>
      <c r="R58" s="522">
        <v>20</v>
      </c>
      <c r="S58" s="526" t="s">
        <v>23</v>
      </c>
      <c r="T58" s="524">
        <v>54</v>
      </c>
      <c r="U58" s="525" t="s">
        <v>21</v>
      </c>
    </row>
    <row r="59" spans="17:21">
      <c r="Q59" s="527">
        <v>47</v>
      </c>
      <c r="R59" s="522">
        <v>20</v>
      </c>
      <c r="S59" s="526" t="s">
        <v>23</v>
      </c>
      <c r="T59" s="524">
        <v>54</v>
      </c>
      <c r="U59" s="525" t="s">
        <v>21</v>
      </c>
    </row>
    <row r="60" spans="17:21">
      <c r="Q60" s="527">
        <v>48</v>
      </c>
      <c r="R60" s="522">
        <v>20</v>
      </c>
      <c r="S60" s="526" t="s">
        <v>23</v>
      </c>
      <c r="T60" s="524">
        <v>54</v>
      </c>
      <c r="U60" s="525" t="s">
        <v>21</v>
      </c>
    </row>
    <row r="61" spans="17:21">
      <c r="Q61" s="527">
        <v>49</v>
      </c>
      <c r="R61" s="522">
        <v>20</v>
      </c>
      <c r="S61" s="526" t="s">
        <v>23</v>
      </c>
      <c r="T61" s="524">
        <v>54</v>
      </c>
      <c r="U61" s="525" t="s">
        <v>21</v>
      </c>
    </row>
    <row r="62" spans="17:21">
      <c r="Q62" s="527">
        <v>50</v>
      </c>
      <c r="R62" s="522">
        <v>20</v>
      </c>
      <c r="S62" s="526" t="s">
        <v>23</v>
      </c>
      <c r="T62" s="524">
        <v>54</v>
      </c>
      <c r="U62" s="525" t="s">
        <v>21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2017-03-13T02:44:41Z</cp:lastPrinted>
  <dcterms:created xsi:type="dcterms:W3CDTF">2015-10-01T03:03:03Z</dcterms:created>
  <dcterms:modified xsi:type="dcterms:W3CDTF">2017-10-26T05:45:28Z</dcterms:modified>
</cp:coreProperties>
</file>