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L7" i="14" l="1"/>
  <c r="L8" i="14"/>
  <c r="L9" i="14"/>
  <c r="L10" i="14"/>
  <c r="L11" i="14"/>
  <c r="L12" i="14"/>
  <c r="L13" i="14"/>
  <c r="L14" i="14"/>
  <c r="L15" i="14"/>
  <c r="L16" i="14"/>
  <c r="H8" i="14"/>
  <c r="H9" i="14"/>
  <c r="H10" i="14"/>
  <c r="H11" i="14"/>
  <c r="H12" i="14"/>
  <c r="H13" i="14"/>
  <c r="H14" i="14"/>
  <c r="H15" i="14"/>
  <c r="H16" i="14"/>
  <c r="H7" i="14"/>
  <c r="C21" i="14"/>
  <c r="C18" i="14"/>
  <c r="C19" i="14"/>
  <c r="C20" i="14"/>
  <c r="C22" i="14"/>
  <c r="N16" i="14" l="1"/>
  <c r="O16" i="14" s="1"/>
  <c r="N15" i="14"/>
  <c r="O15" i="14" s="1"/>
  <c r="N14" i="14"/>
  <c r="O14" i="14" s="1"/>
  <c r="N13" i="14"/>
  <c r="O13" i="14" s="1"/>
  <c r="N12" i="14"/>
  <c r="O12" i="14" s="1"/>
  <c r="N11" i="14"/>
  <c r="O11" i="14" s="1"/>
  <c r="N10" i="14"/>
  <c r="O10" i="14" s="1"/>
  <c r="N9" i="14"/>
  <c r="O9" i="14" s="1"/>
  <c r="N8" i="14"/>
  <c r="O8" i="14" s="1"/>
  <c r="N7" i="14"/>
  <c r="O7" i="14" s="1"/>
  <c r="AB26" i="9" l="1"/>
  <c r="AB27" i="9"/>
  <c r="AB28" i="9"/>
  <c r="AB29" i="9"/>
  <c r="AB30" i="9"/>
  <c r="AB31" i="9"/>
  <c r="AB32" i="9"/>
  <c r="AB33" i="9"/>
  <c r="AB34" i="9"/>
  <c r="AB35" i="9"/>
  <c r="AB25" i="9"/>
  <c r="X26" i="9"/>
  <c r="X27" i="9"/>
  <c r="X28" i="9"/>
  <c r="X29" i="9"/>
  <c r="X30" i="9"/>
  <c r="X31" i="9"/>
  <c r="X32" i="9"/>
  <c r="X33" i="9"/>
  <c r="X34" i="9"/>
  <c r="X35" i="9"/>
  <c r="X25" i="9"/>
  <c r="T26" i="9"/>
  <c r="T27" i="9"/>
  <c r="T28" i="9"/>
  <c r="T29" i="9"/>
  <c r="T30" i="9"/>
  <c r="T31" i="9"/>
  <c r="T32" i="9"/>
  <c r="T33" i="9"/>
  <c r="T34" i="9"/>
  <c r="T35" i="9"/>
  <c r="T25" i="9"/>
  <c r="J8" i="13" l="1"/>
  <c r="J16" i="12" l="1"/>
  <c r="A18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M16" i="14"/>
  <c r="T16" i="14" s="1"/>
  <c r="J26" i="12"/>
  <c r="A35" i="9"/>
  <c r="M15" i="14"/>
  <c r="T15" i="14" s="1"/>
  <c r="J25" i="12"/>
  <c r="A34" i="9"/>
  <c r="B15" i="14" s="1"/>
  <c r="M14" i="14"/>
  <c r="T14" i="14" s="1"/>
  <c r="J24" i="12"/>
  <c r="A33" i="9"/>
  <c r="M13" i="14"/>
  <c r="T13" i="14" s="1"/>
  <c r="J23" i="12"/>
  <c r="A32" i="9"/>
  <c r="B13" i="14" s="1"/>
  <c r="M12" i="14"/>
  <c r="T12" i="14" s="1"/>
  <c r="J22" i="12"/>
  <c r="A31" i="9"/>
  <c r="J21" i="12"/>
  <c r="A30" i="9"/>
  <c r="B11" i="14" s="1"/>
  <c r="J20" i="12"/>
  <c r="A29" i="9"/>
  <c r="J19" i="12"/>
  <c r="A28" i="9"/>
  <c r="B9" i="14" s="1"/>
  <c r="J18" i="12"/>
  <c r="A27" i="9"/>
  <c r="D23" i="15"/>
  <c r="K23" i="15" s="1"/>
  <c r="A26" i="9"/>
  <c r="A24" i="9"/>
  <c r="X19" i="9"/>
  <c r="I10" i="12" s="1"/>
  <c r="S9" i="9"/>
  <c r="I13" i="14" l="1"/>
  <c r="P13" i="14"/>
  <c r="Q13" i="14" s="1"/>
  <c r="I15" i="14"/>
  <c r="P15" i="14"/>
  <c r="Q15" i="14" s="1"/>
  <c r="I9" i="14"/>
  <c r="P9" i="14"/>
  <c r="Q9" i="14" s="1"/>
  <c r="I11" i="14"/>
  <c r="P11" i="14"/>
  <c r="Q11" i="14" s="1"/>
  <c r="AA21" i="13"/>
  <c r="D21" i="15"/>
  <c r="K21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B10" i="14"/>
  <c r="B12" i="14"/>
  <c r="B14" i="14"/>
  <c r="B16" i="14"/>
  <c r="K30" i="15"/>
  <c r="K32" i="15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K34" i="12"/>
  <c r="J8" i="14"/>
  <c r="K30" i="12"/>
  <c r="K31" i="12"/>
  <c r="K32" i="12"/>
  <c r="M7" i="14"/>
  <c r="T7" i="14" s="1"/>
  <c r="D143" i="15"/>
  <c r="K143" i="15" s="1"/>
  <c r="D113" i="15"/>
  <c r="K113" i="15" s="1"/>
  <c r="K120" i="15" s="1"/>
  <c r="D83" i="15"/>
  <c r="K83" i="15" s="1"/>
  <c r="D68" i="15"/>
  <c r="K68" i="15" s="1"/>
  <c r="K75" i="15" s="1"/>
  <c r="D38" i="15"/>
  <c r="K38" i="15" s="1"/>
  <c r="K45" i="15" s="1"/>
  <c r="D158" i="15"/>
  <c r="K158" i="15" s="1"/>
  <c r="D128" i="15"/>
  <c r="K128" i="15" s="1"/>
  <c r="K135" i="15" s="1"/>
  <c r="D98" i="15"/>
  <c r="K98" i="15" s="1"/>
  <c r="K105" i="15" s="1"/>
  <c r="D53" i="15"/>
  <c r="K53" i="15" s="1"/>
  <c r="K60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M11" i="14"/>
  <c r="T11" i="14" s="1"/>
  <c r="N20" i="12"/>
  <c r="M10" i="14"/>
  <c r="T10" i="14" s="1"/>
  <c r="N19" i="12"/>
  <c r="M9" i="14"/>
  <c r="T9" i="14" s="1"/>
  <c r="N18" i="12"/>
  <c r="M8" i="14"/>
  <c r="T8" i="14" s="1"/>
  <c r="N17" i="12"/>
  <c r="I7" i="14" l="1"/>
  <c r="X7" i="14" s="1"/>
  <c r="P7" i="14"/>
  <c r="Q7" i="14" s="1"/>
  <c r="I16" i="14"/>
  <c r="P16" i="14"/>
  <c r="Q16" i="14" s="1"/>
  <c r="I12" i="14"/>
  <c r="P12" i="14"/>
  <c r="Q12" i="14" s="1"/>
  <c r="I8" i="14"/>
  <c r="P8" i="14"/>
  <c r="Q8" i="14" s="1"/>
  <c r="I14" i="14"/>
  <c r="P14" i="14"/>
  <c r="Q14" i="14" s="1"/>
  <c r="I10" i="14"/>
  <c r="P10" i="14"/>
  <c r="Q10" i="14" s="1"/>
  <c r="U7" i="14"/>
  <c r="K165" i="15"/>
  <c r="K90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137" i="15"/>
  <c r="K47" i="15"/>
  <c r="K92" i="15"/>
  <c r="K107" i="15"/>
  <c r="K167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K31" i="15"/>
  <c r="G136" i="15"/>
  <c r="F135" i="15" s="1"/>
  <c r="G91" i="15"/>
  <c r="K91" i="15" s="1"/>
  <c r="G106" i="15"/>
  <c r="F105" i="15" s="1"/>
  <c r="G166" i="15"/>
  <c r="K166" i="15" s="1"/>
  <c r="G61" i="15"/>
  <c r="K61" i="15" s="1"/>
  <c r="G46" i="15"/>
  <c r="K46" i="15" s="1"/>
  <c r="G151" i="15"/>
  <c r="F150" i="15" s="1"/>
  <c r="G16" i="15"/>
  <c r="AJ21" i="12" s="1"/>
  <c r="G121" i="15"/>
  <c r="F120" i="15" s="1"/>
  <c r="K10" i="14"/>
  <c r="X10" i="14" s="1"/>
  <c r="J11" i="14"/>
  <c r="F75" i="15"/>
  <c r="K76" i="15"/>
  <c r="F90" i="15"/>
  <c r="K106" i="15"/>
  <c r="F45" i="15"/>
  <c r="K151" i="15"/>
  <c r="AJ19" i="12"/>
  <c r="K121" i="15"/>
  <c r="F165" i="15" l="1"/>
  <c r="AJ23" i="12"/>
  <c r="AJ22" i="12"/>
  <c r="K16" i="15"/>
  <c r="Z16" i="12" s="1"/>
  <c r="R16" i="12" s="1"/>
  <c r="AJ17" i="12"/>
  <c r="AJ20" i="12"/>
  <c r="K136" i="15"/>
  <c r="F15" i="15"/>
  <c r="AJ26" i="12"/>
  <c r="AJ25" i="12"/>
  <c r="F60" i="15"/>
  <c r="AJ18" i="12"/>
  <c r="AJ24" i="12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<sst xmlns="http://schemas.openxmlformats.org/spreadsheetml/2006/main" count="800" uniqueCount="206">
  <si>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</si>
  <si>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</si>
  <si>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</si>
  <si>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</si>
  <si>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</si>
  <si>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</si>
  <si>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</si>
  <si>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</si>
  <si>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</si>
  <si>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</si>
  <si>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</si>
  <si>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</si>
  <si>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</si>
  <si>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</si>
  <si>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</si>
  <si>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</si>
  <si>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</si>
  <si>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</si>
  <si>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</si>
  <si>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</si>
  <si>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</si>
  <si>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</si>
  <si>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</si>
  <si>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</si>
  <si>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</si>
  <si>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</si>
  <si>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</si>
  <si>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</si>
  <si>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</si>
  <si>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</si>
  <si>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</si>
  <si>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</si>
  <si>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</si>
  <si>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</si>
  <si>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</si>
  <si>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</si>
  <si>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</si>
  <si>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</si>
  <si>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</si>
  <si>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</si>
  <si>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</si>
  <si>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</si>
  <si>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</si>
  <si>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</si>
  <si>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</si>
  <si>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</si>
  <si>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</si>
  <si>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</si>
  <si>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</si>
  <si>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</si>
  <si>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</si>
  <si>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</si>
  <si>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</si>
  <si>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</si>
  <si>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</si>
  <si>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</si>
  <si>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</si>
  <si>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</si>
  <si>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</si>
  <si>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</si>
  <si>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</si>
  <si>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</si>
  <si>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</si>
  <si>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</si>
  <si>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</si>
  <si>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</si>
  <si>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</si>
  <si>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</si>
  <si>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</si>
  <si>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</si>
  <si>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</si>
  <si>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</si>
  <si>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</si>
  <si>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</si>
  <si>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</si>
  <si>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</si>
  <si>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</si>
  <si>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</si>
  <si>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</si>
  <si>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</si>
  <si>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</si>
  <si>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</si>
  <si>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</si>
  <si>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</si>
  <si>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</si>
  <si>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</si>
  <si>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</si>
  <si>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</si>
  <si>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</si>
  <si>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</si>
  <si>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</si>
  <si>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</si>
  <si>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</si>
  <si>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</si>
  <si>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</si>
  <si>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</si>
  <si>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</si>
  <si>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</si>
  <si>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</si>
  <si>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</si>
  <si>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</si>
  <si>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</si>
  <si>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</si>
  <si>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</si>
  <si>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</si>
  <si>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</si>
  <si>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</si>
  <si>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</si>
  <si>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</si>
  <si>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</si>
  <si>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</si>
  <si>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</si>
  <si>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</si>
  <si>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</si>
  <si>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</si>
  <si>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</si>
  <si>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</si>
  <si>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</si>
  <si>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</si>
  <si>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</si>
  <si>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</si>
  <si>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</si>
  <si>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</si>
  <si>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</si>
  <si>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</si>
  <si>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</si>
  <si>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</si>
  <si>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</si>
  <si>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</si>
  <si>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</si>
  <si>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</si>
  <si>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</si>
  <si>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</si>
  <si>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</si>
  <si>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</si>
  <si>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</si>
  <si>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</si>
  <si>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</si>
  <si>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</si>
  <si>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</si>
  <si>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</si>
  <si>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</si>
  <si>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</si>
  <si>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</si>
  <si>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</si>
  <si>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</si>
  <si>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</si>
  <si>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</si>
  <si>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</si>
  <si>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</si>
  <si>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</si>
  <si>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</si>
  <si>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</si>
  <si>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</si>
  <si>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</si>
  <si>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</si>
  <si>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</si>
  <si>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</si>
  <si>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</si>
  <si>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</si>
  <si>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</si>
  <si>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</si>
  <si>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</si>
  <si>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</si>
  <si>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</si>
  <si>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</si>
  <si>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</si>
  <si>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</si>
  <si>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</si>
  <si>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</si>
  <si>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</si>
  <si>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</si>
  <si>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</si>
  <si>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</si>
  <si>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</si>
  <si>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</si>
  <si>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</si>
  <si>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</si>
  <si>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</si>
  <si>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</si>
  <si>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</si>
  <si>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</si>
  <si>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</si>
  <si>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</si>
  <si>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</si>
  <si>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Reference Standard :</t>
  </si>
  <si>
    <t>Calibration Procedure No.:</t>
  </si>
  <si>
    <t>Adress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</si>
  <si>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</si>
  <si>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</si>
  <si>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</si>
  <si>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</si>
  <si>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</si>
  <si>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</si>
  <si>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</si>
  <si>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</si>
  <si>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</si>
  <si>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</si>
  <si>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</si>
  <si>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</si>
  <si>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</si>
  <si>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</si>
  <si>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</si>
  <si>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t>Resolution</t>
  </si>
  <si>
    <t xml:space="preserve"> g.</t>
  </si>
  <si>
    <r>
      <rPr>
        <sz val="9"/>
        <color theme="1"/>
        <rFont val="Arial"/>
        <family val="2"/>
      </rPr>
      <t>ρ</t>
    </r>
    <r>
      <rPr>
        <vertAlign val="subscript"/>
        <sz val="9"/>
        <color theme="1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</si>
</sst>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1" formatCode="0.000"/>
    <numFmt numFmtId="172" formatCode="dd\ mmmm\ yyyy"/>
    <numFmt numFmtId="173" formatCode="0.0"/>
    <numFmt numFmtId="178" formatCode="_-[$€]* #,##0.00_-;\-[$€]* #,##0.00_-;_-[$€]* &quot;-&quot;??_-;_-@_-"/>
    <numFmt numFmtId="179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178" fontId="0" fillId="0" borderId="0"/>
    <xf numFmtId="178" fontId="3" fillId="0" borderId="0"/>
    <xf numFmtId="178" fontId="3" fillId="0" borderId="0"/>
    <xf numFmtId="178" fontId="8" fillId="0" borderId="0"/>
    <xf numFmtId="167" fontId="8" fillId="0" borderId="0" applyFont="0" applyFill="0" applyBorder="0" applyAlignment="0" applyProtection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8" fillId="0" borderId="0"/>
    <xf numFmtId="178" fontId="8" fillId="0" borderId="0"/>
    <xf numFmtId="178" fontId="8" fillId="0" borderId="0"/>
    <xf numFmtId="178" fontId="22" fillId="0" borderId="0"/>
    <xf numFmtId="178" fontId="22" fillId="0" borderId="0"/>
    <xf numFmtId="178" fontId="22" fillId="0" borderId="0"/>
    <xf numFmtId="178" fontId="22" fillId="0" borderId="0"/>
    <xf numFmtId="178" fontId="3" fillId="0" borderId="0"/>
    <xf numFmtId="178" fontId="8" fillId="0" borderId="0"/>
    <xf numFmtId="178" fontId="22" fillId="0" borderId="0"/>
    <xf numFmtId="178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8" fontId="3" fillId="0" borderId="0"/>
    <xf numFmtId="178" fontId="3" fillId="0" borderId="0"/>
    <xf numFmtId="178" fontId="3" fillId="0" borderId="0"/>
    <xf numFmtId="178" fontId="8" fillId="0" borderId="0"/>
    <xf numFmtId="178" fontId="3" fillId="0" borderId="0"/>
    <xf numFmtId="178" fontId="68" fillId="0" borderId="0" applyNumberFormat="0" applyAlignment="0"/>
    <xf numFmtId="16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68" fillId="2" borderId="0" applyNumberFormat="0" applyBorder="0" applyAlignment="0" applyProtection="0"/>
    <xf numFmtId="178" fontId="69" fillId="0" borderId="15" applyNumberFormat="0" applyAlignment="0" applyProtection="0">
      <alignment horizontal="left" vertical="center"/>
    </xf>
    <xf numFmtId="178" fontId="69" fillId="0" borderId="12">
      <alignment horizontal="left" vertical="center"/>
    </xf>
    <xf numFmtId="10" fontId="68" fillId="2" borderId="10" applyNumberFormat="0" applyBorder="0" applyAlignment="0" applyProtection="0"/>
    <xf numFmtId="178" fontId="3" fillId="0" borderId="0"/>
    <xf numFmtId="178" fontId="3" fillId="0" borderId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78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19">
    <xf numFmtId="178" fontId="0" fillId="0" borderId="0" xfId="0"/>
    <xf numFmtId="178" fontId="1" fillId="2" borderId="0" xfId="0" applyFont="1" applyFill="1" applyAlignment="1">
      <alignment horizontal="center" vertical="center"/>
    </xf>
    <xf numFmtId="178" fontId="2" fillId="2" borderId="0" xfId="0" applyFont="1" applyFill="1" applyAlignment="1">
      <alignment vertical="center"/>
    </xf>
    <xf numFmtId="178" fontId="2" fillId="2" borderId="0" xfId="0" applyFont="1" applyFill="1" applyAlignment="1">
      <alignment horizontal="center" vertical="center"/>
    </xf>
    <xf numFmtId="178" fontId="4" fillId="0" borderId="0" xfId="1" applyFont="1" applyAlignment="1">
      <alignment horizontal="center" vertical="center"/>
    </xf>
    <xf numFmtId="178" fontId="6" fillId="0" borderId="0" xfId="2" applyFont="1" applyFill="1" applyAlignment="1">
      <alignment horizontal="center" vertical="center"/>
    </xf>
    <xf numFmtId="178" fontId="9" fillId="0" borderId="0" xfId="2" applyFont="1" applyFill="1" applyAlignment="1">
      <alignment horizontal="center" vertical="center"/>
    </xf>
    <xf numFmtId="178" fontId="12" fillId="10" borderId="1" xfId="2" applyFont="1" applyFill="1" applyBorder="1" applyAlignment="1">
      <alignment vertical="center"/>
    </xf>
    <xf numFmtId="178" fontId="12" fillId="10" borderId="5" xfId="2" applyFont="1" applyFill="1" applyBorder="1" applyAlignment="1">
      <alignment vertical="center"/>
    </xf>
    <xf numFmtId="178" fontId="14" fillId="0" borderId="11" xfId="2" applyFont="1" applyFill="1" applyBorder="1" applyAlignment="1">
      <alignment horizontal="right" vertical="center"/>
    </xf>
    <xf numFmtId="178" fontId="14" fillId="0" borderId="12" xfId="2" applyFont="1" applyFill="1" applyBorder="1" applyAlignment="1">
      <alignment horizontal="left" vertical="center"/>
    </xf>
    <xf numFmtId="178" fontId="14" fillId="11" borderId="11" xfId="2" applyFont="1" applyFill="1" applyBorder="1" applyAlignment="1">
      <alignment horizontal="right" vertical="center"/>
    </xf>
    <xf numFmtId="178" fontId="14" fillId="11" borderId="13" xfId="2" applyFont="1" applyFill="1" applyBorder="1" applyAlignment="1">
      <alignment horizontal="left" vertical="center"/>
    </xf>
    <xf numFmtId="178" fontId="14" fillId="0" borderId="13" xfId="2" applyFont="1" applyFill="1" applyBorder="1" applyAlignment="1">
      <alignment horizontal="left" vertical="center"/>
    </xf>
    <xf numFmtId="178" fontId="6" fillId="0" borderId="10" xfId="2" applyFont="1" applyFill="1" applyBorder="1" applyAlignment="1">
      <alignment horizontal="center" vertical="center"/>
    </xf>
    <xf numFmtId="178" fontId="14" fillId="0" borderId="0" xfId="2" applyFont="1" applyFill="1" applyBorder="1" applyAlignment="1">
      <alignment horizontal="right" vertical="center"/>
    </xf>
    <xf numFmtId="178" fontId="14" fillId="0" borderId="0" xfId="2" applyFont="1" applyFill="1" applyBorder="1" applyAlignment="1">
      <alignment horizontal="left" vertical="center"/>
    </xf>
    <xf numFmtId="178" fontId="17" fillId="0" borderId="0" xfId="2" applyFont="1" applyFill="1" applyBorder="1" applyAlignment="1">
      <alignment horizontal="right" vertical="center"/>
    </xf>
    <xf numFmtId="178" fontId="17" fillId="0" borderId="0" xfId="2" applyFont="1" applyFill="1" applyBorder="1" applyAlignment="1">
      <alignment horizontal="left" vertical="center"/>
    </xf>
    <xf numFmtId="178" fontId="6" fillId="0" borderId="0" xfId="2" applyFont="1" applyFill="1" applyBorder="1" applyAlignment="1">
      <alignment horizontal="center" vertical="center"/>
    </xf>
    <xf numFmtId="178" fontId="6" fillId="0" borderId="0" xfId="3" applyFont="1" applyFill="1" applyBorder="1" applyAlignment="1">
      <alignment horizontal="center" vertical="center"/>
    </xf>
    <xf numFmtId="171" fontId="18" fillId="0" borderId="0" xfId="3" applyNumberFormat="1" applyFont="1" applyFill="1" applyBorder="1" applyAlignment="1">
      <alignment horizontal="center" vertical="center"/>
    </xf>
    <xf numFmtId="178" fontId="6" fillId="0" borderId="0" xfId="3" applyFont="1" applyFill="1" applyAlignment="1">
      <alignment horizontal="center" vertical="center"/>
    </xf>
    <xf numFmtId="171" fontId="18" fillId="0" borderId="0" xfId="3" applyNumberFormat="1" applyFont="1" applyFill="1" applyAlignment="1">
      <alignment horizontal="center" vertical="center"/>
    </xf>
    <xf numFmtId="178" fontId="15" fillId="0" borderId="0" xfId="3" applyFont="1" applyFill="1" applyAlignment="1">
      <alignment horizontal="center" vertical="center"/>
    </xf>
    <xf numFmtId="178" fontId="5" fillId="0" borderId="0" xfId="3" applyFont="1" applyFill="1" applyAlignment="1">
      <alignment horizontal="center" vertical="center"/>
    </xf>
    <xf numFmtId="178" fontId="26" fillId="0" borderId="0" xfId="0" applyFont="1" applyFill="1" applyAlignment="1">
      <alignment vertical="center"/>
    </xf>
    <xf numFmtId="178" fontId="24" fillId="0" borderId="0" xfId="0" applyFont="1" applyFill="1" applyAlignment="1">
      <alignment vertical="center"/>
    </xf>
    <xf numFmtId="178" fontId="26" fillId="0" borderId="0" xfId="0" applyFont="1" applyFill="1" applyBorder="1" applyAlignment="1">
      <alignment horizontal="right" vertical="center"/>
    </xf>
    <xf numFmtId="178" fontId="26" fillId="0" borderId="0" xfId="0" applyFont="1" applyFill="1" applyAlignment="1">
      <alignment horizontal="center" vertical="center"/>
    </xf>
    <xf numFmtId="178" fontId="24" fillId="0" borderId="0" xfId="0" applyFont="1" applyFill="1" applyBorder="1" applyAlignment="1">
      <alignment vertical="center"/>
    </xf>
    <xf numFmtId="178" fontId="26" fillId="0" borderId="0" xfId="0" applyFont="1" applyFill="1" applyAlignment="1">
      <alignment horizontal="left" vertical="center"/>
    </xf>
    <xf numFmtId="173" fontId="26" fillId="0" borderId="0" xfId="0" applyNumberFormat="1" applyFont="1" applyFill="1" applyAlignment="1">
      <alignment vertical="center"/>
    </xf>
    <xf numFmtId="178" fontId="24" fillId="0" borderId="14" xfId="0" applyFont="1" applyFill="1" applyBorder="1" applyAlignment="1">
      <alignment vertical="center"/>
    </xf>
    <xf numFmtId="178" fontId="29" fillId="0" borderId="0" xfId="10" applyFont="1" applyAlignment="1">
      <alignment horizontal="center" vertical="center"/>
    </xf>
    <xf numFmtId="178" fontId="8" fillId="0" borderId="0" xfId="0" applyFont="1" applyAlignment="1">
      <alignment vertical="center"/>
    </xf>
    <xf numFmtId="178" fontId="29" fillId="0" borderId="0" xfId="10" applyFont="1" applyBorder="1" applyAlignment="1">
      <alignment horizontal="center" vertical="center"/>
    </xf>
    <xf numFmtId="178" fontId="26" fillId="0" borderId="0" xfId="19" applyFont="1" applyFill="1" applyAlignment="1">
      <alignment vertical="center"/>
    </xf>
    <xf numFmtId="173" fontId="24" fillId="0" borderId="0" xfId="0" applyNumberFormat="1" applyFont="1" applyFill="1" applyBorder="1" applyAlignment="1">
      <alignment vertical="center"/>
    </xf>
    <xf numFmtId="178" fontId="24" fillId="0" borderId="0" xfId="0" applyFont="1" applyFill="1" applyAlignment="1">
      <alignment horizontal="left" vertical="center"/>
    </xf>
    <xf numFmtId="178" fontId="24" fillId="0" borderId="0" xfId="0" applyFont="1" applyFill="1" applyAlignment="1">
      <alignment horizontal="right" vertical="center"/>
    </xf>
    <xf numFmtId="178" fontId="27" fillId="0" borderId="0" xfId="19" applyFont="1" applyFill="1" applyBorder="1" applyAlignment="1"/>
    <xf numFmtId="172" fontId="24" fillId="0" borderId="0" xfId="19" applyNumberFormat="1" applyFont="1" applyFill="1" applyBorder="1" applyAlignment="1">
      <alignment vertical="center"/>
    </xf>
    <xf numFmtId="178" fontId="24" fillId="0" borderId="0" xfId="19" applyFont="1" applyFill="1" applyAlignment="1">
      <alignment vertical="center"/>
    </xf>
    <xf numFmtId="178" fontId="8" fillId="0" borderId="0" xfId="10" applyFont="1" applyAlignment="1">
      <alignment vertical="center"/>
    </xf>
    <xf numFmtId="178" fontId="34" fillId="0" borderId="0" xfId="0" applyFont="1"/>
    <xf numFmtId="178" fontId="26" fillId="0" borderId="0" xfId="14" applyFont="1" applyFill="1" applyAlignment="1">
      <alignment vertical="center"/>
    </xf>
    <xf numFmtId="178" fontId="8" fillId="0" borderId="0" xfId="10" applyFont="1" applyBorder="1" applyAlignment="1">
      <alignment vertical="center"/>
    </xf>
    <xf numFmtId="178" fontId="26" fillId="0" borderId="14" xfId="0" applyFont="1" applyFill="1" applyBorder="1" applyAlignment="1">
      <alignment vertical="center"/>
    </xf>
    <xf numFmtId="178" fontId="6" fillId="0" borderId="0" xfId="0" applyFont="1" applyBorder="1" applyAlignment="1">
      <alignment horizontal="center" vertical="center"/>
    </xf>
    <xf numFmtId="178" fontId="5" fillId="0" borderId="0" xfId="5" applyNumberFormat="1" applyFont="1" applyBorder="1" applyAlignment="1">
      <alignment vertical="center"/>
    </xf>
    <xf numFmtId="178" fontId="35" fillId="0" borderId="14" xfId="14" applyFont="1" applyFill="1" applyBorder="1" applyAlignment="1">
      <alignment vertical="center"/>
    </xf>
    <xf numFmtId="178" fontId="26" fillId="0" borderId="14" xfId="14" applyFont="1" applyFill="1" applyBorder="1" applyAlignment="1">
      <alignment vertical="center"/>
    </xf>
    <xf numFmtId="178" fontId="35" fillId="0" borderId="0" xfId="14" applyFont="1" applyFill="1" applyAlignment="1">
      <alignment horizontal="left" vertical="center"/>
    </xf>
    <xf numFmtId="178" fontId="35" fillId="0" borderId="0" xfId="14" applyFont="1" applyFill="1" applyBorder="1" applyAlignment="1">
      <alignment vertical="center"/>
    </xf>
    <xf numFmtId="178" fontId="26" fillId="0" borderId="0" xfId="14" applyFont="1" applyFill="1" applyBorder="1" applyAlignment="1">
      <alignment vertical="center"/>
    </xf>
    <xf numFmtId="178" fontId="38" fillId="0" borderId="0" xfId="10" applyFont="1" applyAlignment="1">
      <alignment vertical="center"/>
    </xf>
    <xf numFmtId="178" fontId="40" fillId="0" borderId="0" xfId="10" applyFont="1" applyAlignment="1">
      <alignment horizontal="center" vertical="center"/>
    </xf>
    <xf numFmtId="178" fontId="41" fillId="0" borderId="0" xfId="10" applyFont="1" applyAlignment="1">
      <alignment vertical="center"/>
    </xf>
    <xf numFmtId="178" fontId="42" fillId="0" borderId="0" xfId="10" applyFont="1" applyAlignment="1">
      <alignment vertical="center"/>
    </xf>
    <xf numFmtId="178" fontId="5" fillId="0" borderId="0" xfId="10" applyFont="1" applyBorder="1" applyAlignment="1">
      <alignment vertical="center"/>
    </xf>
    <xf numFmtId="178" fontId="43" fillId="0" borderId="0" xfId="10" applyFont="1" applyAlignment="1">
      <alignment vertical="center"/>
    </xf>
    <xf numFmtId="178" fontId="43" fillId="0" borderId="0" xfId="10" applyFont="1" applyBorder="1" applyAlignment="1">
      <alignment vertical="center"/>
    </xf>
    <xf numFmtId="178" fontId="5" fillId="0" borderId="0" xfId="10" applyFont="1" applyAlignment="1">
      <alignment horizontal="center" vertical="center"/>
    </xf>
    <xf numFmtId="178" fontId="6" fillId="0" borderId="0" xfId="10" applyFont="1" applyBorder="1" applyAlignment="1">
      <alignment vertical="center"/>
    </xf>
    <xf numFmtId="178" fontId="6" fillId="0" borderId="0" xfId="10" applyFont="1" applyAlignment="1">
      <alignment vertical="center"/>
    </xf>
    <xf numFmtId="178" fontId="5" fillId="0" borderId="0" xfId="10" applyFont="1" applyAlignment="1">
      <alignment horizontal="right" vertical="center"/>
    </xf>
    <xf numFmtId="178" fontId="5" fillId="0" borderId="0" xfId="10" applyFont="1" applyAlignment="1">
      <alignment vertical="center"/>
    </xf>
    <xf numFmtId="178" fontId="43" fillId="0" borderId="0" xfId="10" applyFont="1" applyBorder="1" applyAlignment="1">
      <alignment horizontal="center" vertical="center"/>
    </xf>
    <xf numFmtId="178" fontId="5" fillId="0" borderId="0" xfId="5" applyFont="1" applyBorder="1" applyAlignment="1">
      <alignment vertical="center"/>
    </xf>
    <xf numFmtId="178" fontId="6" fillId="0" borderId="0" xfId="5" applyFont="1" applyBorder="1" applyAlignment="1">
      <alignment vertical="center"/>
    </xf>
    <xf numFmtId="178" fontId="44" fillId="0" borderId="0" xfId="18" applyFont="1" applyBorder="1" applyAlignment="1">
      <alignment horizontal="left" vertical="center"/>
    </xf>
    <xf numFmtId="178" fontId="6" fillId="0" borderId="0" xfId="18" applyFont="1" applyBorder="1" applyAlignment="1">
      <alignment horizontal="left" vertical="center"/>
    </xf>
    <xf numFmtId="178" fontId="41" fillId="0" borderId="0" xfId="18" applyFont="1" applyBorder="1" applyAlignment="1">
      <alignment horizontal="left" vertical="center"/>
    </xf>
    <xf numFmtId="178" fontId="41" fillId="0" borderId="0" xfId="10" applyFont="1" applyBorder="1" applyAlignment="1">
      <alignment vertical="center"/>
    </xf>
    <xf numFmtId="178" fontId="43" fillId="0" borderId="0" xfId="5" applyFont="1" applyBorder="1" applyAlignment="1">
      <alignment vertical="center"/>
    </xf>
    <xf numFmtId="178" fontId="6" fillId="0" borderId="0" xfId="18" applyFont="1" applyFill="1" applyBorder="1" applyAlignment="1">
      <alignment horizontal="left" vertical="center"/>
    </xf>
    <xf numFmtId="178" fontId="42" fillId="0" borderId="0" xfId="10" applyFont="1" applyBorder="1" applyAlignment="1">
      <alignment vertical="center"/>
    </xf>
    <xf numFmtId="178" fontId="5" fillId="0" borderId="14" xfId="10" applyFont="1" applyBorder="1" applyAlignment="1">
      <alignment vertical="center"/>
    </xf>
    <xf numFmtId="178" fontId="43" fillId="0" borderId="14" xfId="10" applyFont="1" applyBorder="1" applyAlignment="1">
      <alignment vertical="center"/>
    </xf>
    <xf numFmtId="178" fontId="43" fillId="0" borderId="14" xfId="10" applyFont="1" applyBorder="1" applyAlignment="1">
      <alignment horizontal="center" vertical="center"/>
    </xf>
    <xf numFmtId="178" fontId="45" fillId="0" borderId="14" xfId="10" applyFont="1" applyBorder="1" applyAlignment="1">
      <alignment vertical="center"/>
    </xf>
    <xf numFmtId="178" fontId="6" fillId="0" borderId="14" xfId="10" applyFont="1" applyBorder="1" applyAlignment="1">
      <alignment vertical="center"/>
    </xf>
    <xf numFmtId="178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178" fontId="41" fillId="0" borderId="0" xfId="10" applyFont="1" applyBorder="1" applyAlignment="1">
      <alignment horizontal="left" vertical="center"/>
    </xf>
    <xf numFmtId="178" fontId="43" fillId="0" borderId="0" xfId="5" applyFont="1" applyBorder="1" applyAlignment="1">
      <alignment horizontal="center" vertical="center"/>
    </xf>
    <xf numFmtId="178" fontId="41" fillId="0" borderId="0" xfId="10" applyFont="1" applyAlignment="1">
      <alignment horizontal="left" vertical="center"/>
    </xf>
    <xf numFmtId="178" fontId="5" fillId="0" borderId="0" xfId="5" applyFont="1" applyBorder="1" applyAlignment="1">
      <alignment horizontal="center" vertical="center"/>
    </xf>
    <xf numFmtId="178" fontId="41" fillId="0" borderId="0" xfId="5" applyFont="1" applyBorder="1" applyAlignment="1">
      <alignment vertical="center"/>
    </xf>
    <xf numFmtId="178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8" fontId="43" fillId="0" borderId="0" xfId="10" applyFont="1" applyAlignment="1">
      <alignment horizontal="left" vertical="center"/>
    </xf>
    <xf numFmtId="178" fontId="43" fillId="0" borderId="0" xfId="5" applyFont="1" applyBorder="1" applyAlignment="1">
      <alignment horizontal="left" vertical="center"/>
    </xf>
    <xf numFmtId="178" fontId="45" fillId="0" borderId="0" xfId="10" applyFont="1" applyAlignment="1">
      <alignment vertical="center"/>
    </xf>
    <xf numFmtId="178" fontId="45" fillId="0" borderId="0" xfId="5" applyFont="1" applyBorder="1" applyAlignment="1">
      <alignment vertical="center"/>
    </xf>
    <xf numFmtId="178" fontId="6" fillId="0" borderId="0" xfId="10" applyFont="1" applyAlignment="1">
      <alignment horizontal="center" vertical="center"/>
    </xf>
    <xf numFmtId="178" fontId="26" fillId="0" borderId="0" xfId="10" applyFont="1" applyAlignment="1">
      <alignment vertical="center"/>
    </xf>
    <xf numFmtId="178" fontId="5" fillId="0" borderId="0" xfId="10" applyFont="1" applyBorder="1" applyAlignment="1">
      <alignment horizontal="center" vertical="center"/>
    </xf>
    <xf numFmtId="178" fontId="47" fillId="0" borderId="0" xfId="10" applyFont="1" applyAlignment="1">
      <alignment vertical="center"/>
    </xf>
    <xf numFmtId="178" fontId="47" fillId="0" borderId="0" xfId="10" applyFont="1" applyBorder="1" applyAlignment="1">
      <alignment vertical="center"/>
    </xf>
    <xf numFmtId="178" fontId="6" fillId="0" borderId="0" xfId="10" quotePrefix="1" applyFont="1" applyAlignment="1">
      <alignment vertical="center"/>
    </xf>
    <xf numFmtId="178" fontId="42" fillId="0" borderId="0" xfId="10" applyFont="1" applyAlignment="1">
      <alignment horizontal="center" vertical="center"/>
    </xf>
    <xf numFmtId="178" fontId="41" fillId="0" borderId="0" xfId="3" applyFont="1" applyBorder="1" applyAlignment="1">
      <alignment vertical="center"/>
    </xf>
    <xf numFmtId="178" fontId="41" fillId="0" borderId="0" xfId="10" applyFont="1" applyBorder="1" applyAlignment="1">
      <alignment horizontal="center" vertical="center"/>
    </xf>
    <xf numFmtId="178" fontId="6" fillId="0" borderId="0" xfId="10" applyFont="1" applyBorder="1" applyAlignment="1">
      <alignment horizontal="center" vertical="center"/>
    </xf>
    <xf numFmtId="178" fontId="48" fillId="0" borderId="0" xfId="10" applyFont="1" applyAlignment="1">
      <alignment vertical="center"/>
    </xf>
    <xf numFmtId="178" fontId="8" fillId="0" borderId="0" xfId="10" applyFont="1" applyAlignment="1">
      <alignment horizontal="center" vertical="center"/>
    </xf>
    <xf numFmtId="178" fontId="8" fillId="0" borderId="0" xfId="10" applyFont="1" applyBorder="1" applyAlignment="1">
      <alignment horizontal="center" vertical="center"/>
    </xf>
    <xf numFmtId="178" fontId="42" fillId="0" borderId="0" xfId="10" applyFont="1" applyAlignment="1">
      <alignment horizontal="right" vertical="center"/>
    </xf>
    <xf numFmtId="178" fontId="49" fillId="0" borderId="0" xfId="10" applyFont="1" applyBorder="1" applyAlignment="1">
      <alignment vertical="center"/>
    </xf>
    <xf numFmtId="178" fontId="41" fillId="0" borderId="0" xfId="10" quotePrefix="1" applyFont="1" applyBorder="1" applyAlignment="1">
      <alignment vertical="center" shrinkToFit="1"/>
    </xf>
    <xf numFmtId="178" fontId="29" fillId="0" borderId="0" xfId="10" applyFont="1" applyBorder="1" applyAlignment="1">
      <alignment vertical="center"/>
    </xf>
    <xf numFmtId="178" fontId="48" fillId="0" borderId="0" xfId="5" applyFont="1" applyBorder="1" applyAlignment="1">
      <alignment vertical="center"/>
    </xf>
    <xf numFmtId="178" fontId="8" fillId="0" borderId="0" xfId="5" applyFont="1" applyBorder="1" applyAlignment="1">
      <alignment vertical="center"/>
    </xf>
    <xf numFmtId="178" fontId="50" fillId="0" borderId="0" xfId="18" applyFont="1" applyBorder="1" applyAlignment="1">
      <alignment horizontal="left" vertical="center"/>
    </xf>
    <xf numFmtId="178" fontId="48" fillId="0" borderId="14" xfId="10" applyFont="1" applyBorder="1" applyAlignment="1">
      <alignment vertical="center"/>
    </xf>
    <xf numFmtId="178" fontId="8" fillId="0" borderId="14" xfId="10" applyFont="1" applyBorder="1" applyAlignment="1">
      <alignment vertical="center"/>
    </xf>
    <xf numFmtId="178" fontId="42" fillId="0" borderId="14" xfId="10" applyFont="1" applyBorder="1" applyAlignment="1">
      <alignment vertical="center"/>
    </xf>
    <xf numFmtId="178" fontId="42" fillId="0" borderId="0" xfId="18" applyFont="1" applyBorder="1" applyAlignment="1">
      <alignment horizontal="left" vertical="center"/>
    </xf>
    <xf numFmtId="178" fontId="41" fillId="0" borderId="0" xfId="5" applyFont="1" applyAlignment="1">
      <alignment vertical="center"/>
    </xf>
    <xf numFmtId="178" fontId="5" fillId="0" borderId="0" xfId="10" applyFont="1" applyAlignment="1">
      <alignment horizontal="left" vertical="center"/>
    </xf>
    <xf numFmtId="178" fontId="48" fillId="0" borderId="0" xfId="5" applyFont="1" applyBorder="1" applyAlignment="1">
      <alignment horizontal="left" vertical="center"/>
    </xf>
    <xf numFmtId="178" fontId="29" fillId="0" borderId="0" xfId="5" applyFont="1" applyBorder="1" applyAlignment="1">
      <alignment horizontal="center" vertical="center"/>
    </xf>
    <xf numFmtId="178" fontId="8" fillId="0" borderId="0" xfId="5" quotePrefix="1" applyNumberFormat="1" applyFont="1" applyBorder="1" applyAlignment="1">
      <alignment vertical="center"/>
    </xf>
    <xf numFmtId="178" fontId="8" fillId="0" borderId="0" xfId="5" applyNumberFormat="1" applyFont="1" applyBorder="1" applyAlignment="1">
      <alignment vertical="center"/>
    </xf>
    <xf numFmtId="178" fontId="42" fillId="0" borderId="0" xfId="5" applyFont="1" applyBorder="1" applyAlignment="1">
      <alignment vertical="center"/>
    </xf>
    <xf numFmtId="178" fontId="52" fillId="0" borderId="0" xfId="5" applyFont="1" applyBorder="1" applyAlignment="1">
      <alignment horizontal="left" vertical="center"/>
    </xf>
    <xf numFmtId="178" fontId="49" fillId="0" borderId="0" xfId="5" applyFont="1" applyBorder="1" applyAlignment="1">
      <alignment horizontal="center" vertical="center"/>
    </xf>
    <xf numFmtId="178" fontId="49" fillId="0" borderId="0" xfId="5" applyNumberFormat="1" applyFont="1" applyBorder="1" applyAlignment="1">
      <alignment horizontal="left" vertical="center"/>
    </xf>
    <xf numFmtId="178" fontId="48" fillId="0" borderId="0" xfId="10" applyFont="1" applyBorder="1" applyAlignment="1">
      <alignment vertical="center"/>
    </xf>
    <xf numFmtId="172" fontId="8" fillId="0" borderId="0" xfId="5" applyNumberFormat="1" applyFont="1" applyBorder="1" applyAlignment="1">
      <alignment horizontal="left" vertical="center"/>
    </xf>
    <xf numFmtId="178" fontId="29" fillId="0" borderId="0" xfId="10" applyFont="1" applyAlignment="1">
      <alignment vertical="center"/>
    </xf>
    <xf numFmtId="178" fontId="53" fillId="0" borderId="0" xfId="10" applyFont="1" applyAlignment="1">
      <alignment vertical="center"/>
    </xf>
    <xf numFmtId="178" fontId="24" fillId="0" borderId="0" xfId="5" applyFont="1" applyBorder="1" applyAlignment="1">
      <alignment horizontal="left" vertical="center"/>
    </xf>
    <xf numFmtId="178" fontId="49" fillId="0" borderId="0" xfId="5" applyFont="1" applyBorder="1" applyAlignment="1">
      <alignment horizontal="left" vertical="center"/>
    </xf>
    <xf numFmtId="178" fontId="41" fillId="0" borderId="0" xfId="5" applyFont="1" applyBorder="1" applyAlignment="1">
      <alignment horizontal="left" vertical="center"/>
    </xf>
    <xf numFmtId="178" fontId="49" fillId="0" borderId="0" xfId="5" applyFont="1" applyBorder="1" applyAlignment="1">
      <alignment vertical="center"/>
    </xf>
    <xf numFmtId="178" fontId="41" fillId="0" borderId="0" xfId="20" applyFont="1" applyBorder="1" applyAlignment="1">
      <alignment vertical="center"/>
    </xf>
    <xf numFmtId="178" fontId="6" fillId="0" borderId="0" xfId="10" quotePrefix="1" applyFont="1" applyBorder="1" applyAlignment="1">
      <alignment vertical="center"/>
    </xf>
    <xf numFmtId="178" fontId="8" fillId="0" borderId="0" xfId="10" quotePrefix="1" applyFont="1" applyBorder="1" applyAlignment="1">
      <alignment vertical="center"/>
    </xf>
    <xf numFmtId="172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2" fontId="8" fillId="0" borderId="0" xfId="10" applyNumberFormat="1" applyFont="1" applyBorder="1" applyAlignment="1">
      <alignment vertical="center"/>
    </xf>
    <xf numFmtId="178" fontId="6" fillId="0" borderId="0" xfId="5" applyNumberFormat="1" applyFont="1" applyBorder="1" applyAlignment="1">
      <alignment vertical="center"/>
    </xf>
    <xf numFmtId="178" fontId="54" fillId="0" borderId="0" xfId="5" applyNumberFormat="1" applyFont="1" applyAlignment="1">
      <alignment vertical="center"/>
    </xf>
    <xf numFmtId="178" fontId="44" fillId="0" borderId="0" xfId="5" applyNumberFormat="1" applyFont="1" applyAlignment="1">
      <alignment vertical="center"/>
    </xf>
    <xf numFmtId="178" fontId="6" fillId="0" borderId="0" xfId="5" applyNumberFormat="1" applyFont="1" applyAlignment="1">
      <alignment vertical="center"/>
    </xf>
    <xf numFmtId="178" fontId="6" fillId="0" borderId="0" xfId="0" applyNumberFormat="1" applyFont="1" applyBorder="1" applyAlignment="1">
      <alignment vertical="center"/>
    </xf>
    <xf numFmtId="178" fontId="6" fillId="0" borderId="0" xfId="6" applyNumberFormat="1" applyFont="1" applyAlignment="1">
      <alignment vertical="center"/>
    </xf>
    <xf numFmtId="178" fontId="6" fillId="0" borderId="0" xfId="6" applyNumberFormat="1" applyFont="1" applyBorder="1" applyAlignment="1">
      <alignment horizontal="center" vertical="center"/>
    </xf>
    <xf numFmtId="178" fontId="6" fillId="0" borderId="0" xfId="13" quotePrefix="1" applyNumberFormat="1" applyFont="1" applyBorder="1" applyAlignment="1">
      <alignment horizontal="center" vertical="center"/>
    </xf>
    <xf numFmtId="178" fontId="51" fillId="0" borderId="0" xfId="8" applyNumberFormat="1" applyFont="1" applyBorder="1" applyAlignment="1">
      <alignment vertical="center" shrinkToFit="1"/>
    </xf>
    <xf numFmtId="178" fontId="24" fillId="14" borderId="0" xfId="0" applyFont="1" applyFill="1" applyBorder="1" applyAlignment="1">
      <alignment vertical="center"/>
    </xf>
    <xf numFmtId="178" fontId="26" fillId="14" borderId="0" xfId="19" applyFont="1" applyFill="1" applyBorder="1" applyAlignment="1">
      <alignment vertical="center"/>
    </xf>
    <xf numFmtId="178" fontId="24" fillId="14" borderId="0" xfId="19" applyFont="1" applyFill="1" applyBorder="1" applyAlignment="1">
      <alignment vertical="center"/>
    </xf>
    <xf numFmtId="178" fontId="36" fillId="14" borderId="0" xfId="19" applyFont="1" applyFill="1" applyBorder="1" applyAlignment="1">
      <alignment vertical="center"/>
    </xf>
    <xf numFmtId="173" fontId="15" fillId="14" borderId="0" xfId="19" applyNumberFormat="1" applyFont="1" applyFill="1" applyBorder="1" applyAlignment="1">
      <alignment vertical="center"/>
    </xf>
    <xf numFmtId="169" fontId="24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8" fontId="24" fillId="14" borderId="0" xfId="0" applyFont="1" applyFill="1" applyBorder="1" applyAlignment="1">
      <alignment horizontal="center" vertical="center"/>
    </xf>
    <xf numFmtId="171" fontId="24" fillId="0" borderId="0" xfId="0" applyNumberFormat="1" applyFont="1" applyFill="1" applyBorder="1" applyAlignment="1">
      <alignment horizontal="center" vertical="center"/>
    </xf>
    <xf numFmtId="171" fontId="37" fillId="0" borderId="0" xfId="0" applyNumberFormat="1" applyFont="1" applyFill="1" applyBorder="1" applyAlignment="1">
      <alignment horizontal="center" vertical="center"/>
    </xf>
    <xf numFmtId="178" fontId="37" fillId="0" borderId="0" xfId="0" applyFont="1" applyFill="1" applyBorder="1" applyAlignment="1">
      <alignment horizontal="center" vertical="center"/>
    </xf>
    <xf numFmtId="171" fontId="16" fillId="14" borderId="0" xfId="0" applyNumberFormat="1" applyFont="1" applyFill="1" applyBorder="1" applyAlignment="1">
      <alignment horizontal="center" vertical="center"/>
    </xf>
    <xf numFmtId="178" fontId="16" fillId="14" borderId="0" xfId="0" applyFont="1" applyFill="1" applyBorder="1" applyAlignment="1">
      <alignment horizontal="center" vertical="center"/>
    </xf>
    <xf numFmtId="171" fontId="56" fillId="0" borderId="0" xfId="0" applyNumberFormat="1" applyFont="1" applyFill="1" applyBorder="1" applyAlignment="1">
      <alignment horizontal="center" vertical="center"/>
    </xf>
    <xf numFmtId="178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178" fontId="58" fillId="14" borderId="0" xfId="0" applyFont="1" applyFill="1" applyBorder="1" applyAlignment="1">
      <alignment vertical="center"/>
    </xf>
    <xf numFmtId="173" fontId="59" fillId="2" borderId="0" xfId="0" applyNumberFormat="1" applyFont="1" applyFill="1" applyBorder="1" applyAlignment="1">
      <alignment vertical="center"/>
    </xf>
    <xf numFmtId="178" fontId="1" fillId="2" borderId="0" xfId="27" applyFont="1" applyFill="1" applyAlignment="1" applyProtection="1">
      <alignment vertical="center"/>
    </xf>
    <xf numFmtId="178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8" fontId="6" fillId="0" borderId="0" xfId="10" applyFont="1" applyAlignment="1">
      <alignment horizontal="center" vertical="center"/>
    </xf>
    <xf numFmtId="178" fontId="6" fillId="0" borderId="0" xfId="10" applyFont="1" applyBorder="1" applyAlignment="1">
      <alignment horizontal="center" vertical="center"/>
    </xf>
    <xf numFmtId="178" fontId="8" fillId="0" borderId="0" xfId="10" applyFont="1" applyBorder="1" applyAlignment="1">
      <alignment horizontal="center" vertical="center"/>
    </xf>
    <xf numFmtId="178" fontId="63" fillId="0" borderId="0" xfId="10" applyFont="1" applyBorder="1" applyAlignment="1">
      <alignment vertical="center"/>
    </xf>
    <xf numFmtId="178" fontId="63" fillId="0" borderId="0" xfId="10" applyFont="1" applyAlignment="1">
      <alignment vertical="center"/>
    </xf>
    <xf numFmtId="178" fontId="63" fillId="0" borderId="0" xfId="10" applyFont="1" applyAlignment="1">
      <alignment horizontal="center" vertical="center"/>
    </xf>
    <xf numFmtId="178" fontId="64" fillId="0" borderId="0" xfId="10" applyFont="1" applyBorder="1" applyAlignment="1">
      <alignment vertical="center"/>
    </xf>
    <xf numFmtId="178" fontId="64" fillId="0" borderId="0" xfId="10" applyFont="1" applyAlignment="1">
      <alignment vertical="center"/>
    </xf>
    <xf numFmtId="178" fontId="63" fillId="0" borderId="0" xfId="10" applyFont="1" applyBorder="1" applyAlignment="1">
      <alignment horizontal="center" vertical="center"/>
    </xf>
    <xf numFmtId="178" fontId="63" fillId="0" borderId="0" xfId="5" applyFont="1" applyBorder="1" applyAlignment="1">
      <alignment vertical="center"/>
    </xf>
    <xf numFmtId="178" fontId="64" fillId="0" borderId="0" xfId="5" applyFont="1" applyBorder="1" applyAlignment="1">
      <alignment vertical="center"/>
    </xf>
    <xf numFmtId="178" fontId="65" fillId="0" borderId="0" xfId="18" applyFont="1" applyBorder="1" applyAlignment="1">
      <alignment horizontal="left" vertical="center"/>
    </xf>
    <xf numFmtId="178" fontId="64" fillId="0" borderId="0" xfId="18" applyFont="1" applyBorder="1" applyAlignment="1">
      <alignment horizontal="left" vertical="center"/>
    </xf>
    <xf numFmtId="178" fontId="64" fillId="0" borderId="0" xfId="18" applyFont="1" applyFill="1" applyBorder="1" applyAlignment="1">
      <alignment horizontal="left" vertical="center"/>
    </xf>
    <xf numFmtId="178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178" fontId="41" fillId="0" borderId="14" xfId="10" applyFont="1" applyBorder="1" applyAlignment="1">
      <alignment horizontal="left" vertical="center"/>
    </xf>
    <xf numFmtId="178" fontId="5" fillId="0" borderId="0" xfId="18" applyFont="1" applyFill="1" applyBorder="1" applyAlignment="1">
      <alignment horizontal="left"/>
    </xf>
    <xf numFmtId="178" fontId="63" fillId="0" borderId="0" xfId="5" applyFont="1" applyBorder="1" applyAlignment="1">
      <alignment horizontal="left" vertical="center"/>
    </xf>
    <xf numFmtId="178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8" fontId="6" fillId="0" borderId="0" xfId="5" quotePrefix="1" applyNumberFormat="1" applyFont="1" applyBorder="1" applyAlignment="1">
      <alignment vertical="center"/>
    </xf>
    <xf numFmtId="178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8" fontId="6" fillId="0" borderId="0" xfId="5" applyNumberFormat="1" applyFont="1" applyBorder="1" applyAlignment="1">
      <alignment vertical="center"/>
    </xf>
    <xf numFmtId="178" fontId="6" fillId="0" borderId="0" xfId="3" applyFont="1" applyBorder="1" applyAlignment="1">
      <alignment vertical="center"/>
    </xf>
    <xf numFmtId="178" fontId="6" fillId="0" borderId="0" xfId="10" applyFont="1" applyAlignment="1">
      <alignment horizontal="left" vertical="center"/>
    </xf>
    <xf numFmtId="178" fontId="34" fillId="0" borderId="0" xfId="28" applyFont="1"/>
    <xf numFmtId="172" fontId="64" fillId="0" borderId="0" xfId="10" applyNumberFormat="1" applyFont="1" applyAlignment="1">
      <alignment vertical="center"/>
    </xf>
    <xf numFmtId="178" fontId="64" fillId="0" borderId="14" xfId="10" applyFont="1" applyBorder="1" applyAlignment="1">
      <alignment vertical="center"/>
    </xf>
    <xf numFmtId="178" fontId="41" fillId="0" borderId="14" xfId="10" applyFont="1" applyBorder="1" applyAlignment="1">
      <alignment vertical="center"/>
    </xf>
    <xf numFmtId="178" fontId="64" fillId="0" borderId="0" xfId="10" applyFont="1" applyBorder="1" applyAlignment="1">
      <alignment horizontal="left" vertical="center"/>
    </xf>
    <xf numFmtId="178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178" fontId="67" fillId="0" borderId="0" xfId="28" applyFont="1" applyFill="1" applyBorder="1" applyAlignment="1">
      <alignment vertical="center"/>
    </xf>
    <xf numFmtId="178" fontId="8" fillId="0" borderId="0" xfId="28" applyFont="1" applyAlignment="1">
      <alignment vertical="center"/>
    </xf>
    <xf numFmtId="178" fontId="3" fillId="0" borderId="0" xfId="28"/>
    <xf numFmtId="178" fontId="26" fillId="0" borderId="0" xfId="28" applyFont="1" applyFill="1" applyAlignment="1">
      <alignment vertical="center"/>
    </xf>
    <xf numFmtId="178" fontId="24" fillId="0" borderId="0" xfId="28" applyFont="1" applyAlignment="1">
      <alignment vertical="center"/>
    </xf>
    <xf numFmtId="178" fontId="64" fillId="0" borderId="0" xfId="10" applyNumberFormat="1" applyFont="1" applyAlignment="1">
      <alignment horizontal="left" vertical="center"/>
    </xf>
    <xf numFmtId="178" fontId="63" fillId="0" borderId="0" xfId="10" applyFont="1" applyAlignment="1">
      <alignment horizontal="left" vertical="center"/>
    </xf>
    <xf numFmtId="178" fontId="35" fillId="0" borderId="0" xfId="14" applyFont="1" applyFill="1" applyAlignment="1">
      <alignment vertical="center"/>
    </xf>
    <xf numFmtId="178" fontId="39" fillId="0" borderId="0" xfId="5" applyNumberFormat="1" applyFont="1" applyBorder="1" applyAlignment="1">
      <alignment vertical="center"/>
    </xf>
    <xf numFmtId="178" fontId="0" fillId="0" borderId="0" xfId="0" applyAlignment="1">
      <alignment vertical="center"/>
    </xf>
    <xf numFmtId="178" fontId="70" fillId="0" borderId="0" xfId="0" applyFont="1" applyAlignment="1">
      <alignment horizontal="center" vertical="center"/>
    </xf>
    <xf numFmtId="178" fontId="71" fillId="0" borderId="0" xfId="0" applyFont="1" applyAlignment="1">
      <alignment horizontal="right" vertical="center"/>
    </xf>
    <xf numFmtId="178" fontId="71" fillId="2" borderId="0" xfId="0" applyFont="1" applyFill="1" applyAlignment="1">
      <alignment horizontal="left" vertical="center"/>
    </xf>
    <xf numFmtId="178" fontId="71" fillId="2" borderId="14" xfId="0" applyFont="1" applyFill="1" applyBorder="1" applyAlignment="1">
      <alignment horizontal="left" vertical="center"/>
    </xf>
    <xf numFmtId="178" fontId="71" fillId="0" borderId="14" xfId="0" applyFont="1" applyBorder="1" applyAlignment="1">
      <alignment horizontal="center" vertical="center"/>
    </xf>
    <xf numFmtId="178" fontId="72" fillId="0" borderId="0" xfId="0" applyFont="1" applyAlignment="1">
      <alignment vertical="center"/>
    </xf>
    <xf numFmtId="178" fontId="71" fillId="0" borderId="10" xfId="0" applyFont="1" applyBorder="1" applyAlignment="1">
      <alignment horizontal="center" vertical="center"/>
    </xf>
    <xf numFmtId="178" fontId="71" fillId="0" borderId="13" xfId="0" applyFont="1" applyBorder="1" applyAlignment="1">
      <alignment horizontal="center" vertical="center"/>
    </xf>
    <xf numFmtId="178" fontId="71" fillId="0" borderId="5" xfId="0" applyFont="1" applyBorder="1" applyAlignment="1">
      <alignment horizontal="center" vertical="center"/>
    </xf>
    <xf numFmtId="178" fontId="75" fillId="0" borderId="10" xfId="0" applyFont="1" applyBorder="1" applyAlignment="1">
      <alignment horizontal="center"/>
    </xf>
    <xf numFmtId="178" fontId="71" fillId="0" borderId="10" xfId="0" applyFont="1" applyBorder="1" applyAlignment="1">
      <alignment horizontal="center" vertical="center" wrapText="1"/>
    </xf>
    <xf numFmtId="178" fontId="73" fillId="0" borderId="5" xfId="0" applyFont="1" applyBorder="1" applyAlignment="1">
      <alignment horizontal="center" vertical="center"/>
    </xf>
    <xf numFmtId="178" fontId="73" fillId="0" borderId="14" xfId="0" applyFont="1" applyBorder="1" applyAlignment="1">
      <alignment horizontal="center" vertical="center"/>
    </xf>
    <xf numFmtId="169" fontId="71" fillId="0" borderId="10" xfId="0" applyNumberFormat="1" applyFont="1" applyBorder="1" applyAlignment="1">
      <alignment horizontal="center" vertical="center"/>
    </xf>
    <xf numFmtId="178" fontId="77" fillId="0" borderId="10" xfId="0" applyFont="1" applyBorder="1" applyAlignment="1">
      <alignment horizontal="center" vertical="center"/>
    </xf>
    <xf numFmtId="178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1" fontId="79" fillId="0" borderId="10" xfId="0" applyNumberFormat="1" applyFont="1" applyBorder="1" applyAlignment="1">
      <alignment horizontal="center" vertical="center"/>
    </xf>
    <xf numFmtId="171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8" fontId="74" fillId="0" borderId="10" xfId="0" applyFont="1" applyBorder="1" applyAlignment="1">
      <alignment horizontal="center"/>
    </xf>
    <xf numFmtId="178" fontId="73" fillId="18" borderId="2" xfId="0" applyFont="1" applyFill="1" applyBorder="1" applyAlignment="1">
      <alignment horizontal="center" vertical="center"/>
    </xf>
    <xf numFmtId="178" fontId="73" fillId="18" borderId="3" xfId="0" applyFont="1" applyFill="1" applyBorder="1" applyAlignment="1">
      <alignment horizontal="center" vertical="center"/>
    </xf>
    <xf numFmtId="178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178" fontId="74" fillId="0" borderId="10" xfId="0" applyFont="1" applyBorder="1" applyAlignment="1">
      <alignment horizontal="center" vertical="center"/>
    </xf>
    <xf numFmtId="178" fontId="73" fillId="18" borderId="8" xfId="0" applyFont="1" applyFill="1" applyBorder="1" applyAlignment="1">
      <alignment horizontal="center" vertical="center"/>
    </xf>
    <xf numFmtId="178" fontId="73" fillId="18" borderId="14" xfId="0" applyFont="1" applyFill="1" applyBorder="1" applyAlignment="1">
      <alignment horizontal="center" vertical="center"/>
    </xf>
    <xf numFmtId="178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178" fontId="73" fillId="18" borderId="9" xfId="0" applyFont="1" applyFill="1" applyBorder="1" applyAlignment="1">
      <alignment horizontal="center" vertical="center"/>
    </xf>
    <xf numFmtId="169" fontId="82" fillId="0" borderId="10" xfId="0" applyNumberFormat="1" applyFont="1" applyBorder="1" applyAlignment="1">
      <alignment horizontal="center" vertical="center"/>
    </xf>
    <xf numFmtId="178" fontId="83" fillId="0" borderId="0" xfId="0" applyFont="1" applyAlignment="1">
      <alignment vertical="center"/>
    </xf>
    <xf numFmtId="178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178" fontId="85" fillId="0" borderId="0" xfId="0" applyFont="1" applyAlignment="1">
      <alignment vertical="center"/>
    </xf>
    <xf numFmtId="178" fontId="0" fillId="0" borderId="0" xfId="0" applyBorder="1" applyAlignment="1">
      <alignment vertical="center"/>
    </xf>
    <xf numFmtId="178" fontId="71" fillId="0" borderId="14" xfId="0" applyFont="1" applyBorder="1" applyAlignment="1">
      <alignment horizontal="left" vertical="center"/>
    </xf>
    <xf numFmtId="178" fontId="6" fillId="0" borderId="10" xfId="5" applyNumberFormat="1" applyFont="1" applyBorder="1" applyAlignment="1">
      <alignment horizontal="center" vertical="center"/>
    </xf>
    <xf numFmtId="178" fontId="86" fillId="0" borderId="0" xfId="5" applyNumberFormat="1" applyFont="1" applyAlignment="1">
      <alignment vertical="center"/>
    </xf>
    <xf numFmtId="178" fontId="86" fillId="0" borderId="10" xfId="5" applyNumberFormat="1" applyFont="1" applyBorder="1" applyAlignment="1">
      <alignment horizontal="center" vertical="center"/>
    </xf>
    <xf numFmtId="178" fontId="86" fillId="0" borderId="1" xfId="5" quotePrefix="1" applyNumberFormat="1" applyFont="1" applyBorder="1" applyAlignment="1">
      <alignment horizontal="center" vertical="center"/>
    </xf>
    <xf numFmtId="178" fontId="86" fillId="0" borderId="5" xfId="5" quotePrefix="1" applyNumberFormat="1" applyFont="1" applyBorder="1" applyAlignment="1">
      <alignment horizontal="center" vertical="center"/>
    </xf>
    <xf numFmtId="178" fontId="86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173" fontId="86" fillId="0" borderId="10" xfId="5" applyNumberFormat="1" applyFont="1" applyBorder="1" applyAlignment="1">
      <alignment horizontal="center" vertical="center"/>
    </xf>
    <xf numFmtId="178" fontId="71" fillId="0" borderId="5" xfId="0" applyFont="1" applyBorder="1" applyAlignment="1">
      <alignment horizontal="center" vertical="center"/>
    </xf>
    <xf numFmtId="178" fontId="71" fillId="0" borderId="13" xfId="0" applyFont="1" applyBorder="1" applyAlignment="1">
      <alignment horizontal="center" vertical="center"/>
    </xf>
    <xf numFmtId="178" fontId="64" fillId="19" borderId="0" xfId="5" applyFont="1" applyFill="1" applyBorder="1" applyAlignment="1">
      <alignment horizontal="left" vertical="center"/>
    </xf>
    <xf numFmtId="178" fontId="6" fillId="19" borderId="0" xfId="5" applyFont="1" applyFill="1" applyBorder="1" applyAlignment="1">
      <alignment vertical="center"/>
    </xf>
    <xf numFmtId="178" fontId="27" fillId="0" borderId="0" xfId="19" applyFont="1" applyFill="1" applyAlignment="1" applyProtection="1">
      <protection locked="0"/>
    </xf>
    <xf numFmtId="178" fontId="26" fillId="0" borderId="0" xfId="19" applyFont="1" applyFill="1" applyBorder="1" applyAlignment="1" applyProtection="1">
      <alignment vertical="center"/>
      <protection locked="0"/>
    </xf>
    <xf numFmtId="178" fontId="27" fillId="0" borderId="0" xfId="19" applyFont="1" applyFill="1" applyBorder="1" applyAlignment="1" applyProtection="1">
      <protection locked="0"/>
    </xf>
    <xf numFmtId="178" fontId="26" fillId="0" borderId="0" xfId="19" applyFont="1" applyFill="1" applyAlignment="1" applyProtection="1">
      <alignment vertical="center"/>
      <protection locked="0"/>
    </xf>
    <xf numFmtId="172" fontId="27" fillId="0" borderId="0" xfId="19" applyNumberFormat="1" applyFont="1" applyFill="1" applyBorder="1" applyAlignment="1" applyProtection="1">
      <protection locked="0"/>
    </xf>
    <xf numFmtId="178" fontId="27" fillId="0" borderId="0" xfId="19" applyFont="1" applyFill="1" applyAlignment="1" applyProtection="1">
      <alignment horizontal="center"/>
      <protection locked="0"/>
    </xf>
    <xf numFmtId="178" fontId="27" fillId="0" borderId="0" xfId="19" applyFont="1" applyFill="1" applyAlignment="1" applyProtection="1">
      <alignment horizontal="left"/>
      <protection locked="0"/>
    </xf>
    <xf numFmtId="178" fontId="27" fillId="19" borderId="0" xfId="19" applyFont="1" applyFill="1" applyAlignment="1" applyProtection="1">
      <protection locked="0"/>
    </xf>
    <xf numFmtId="178" fontId="27" fillId="0" borderId="0" xfId="0" applyFont="1" applyFill="1" applyBorder="1" applyAlignment="1" applyProtection="1">
      <protection locked="0"/>
    </xf>
    <xf numFmtId="178" fontId="27" fillId="0" borderId="0" xfId="0" applyFont="1" applyFill="1" applyBorder="1" applyAlignment="1" applyProtection="1">
      <alignment vertical="center"/>
      <protection locked="0"/>
    </xf>
    <xf numFmtId="178" fontId="26" fillId="0" borderId="0" xfId="0" applyFont="1" applyFill="1" applyBorder="1" applyAlignment="1" applyProtection="1">
      <alignment vertical="center"/>
      <protection locked="0"/>
    </xf>
    <xf numFmtId="178" fontId="27" fillId="0" borderId="14" xfId="0" applyFont="1" applyFill="1" applyBorder="1" applyAlignment="1" applyProtection="1">
      <protection locked="0"/>
    </xf>
    <xf numFmtId="178" fontId="27" fillId="0" borderId="0" xfId="0" applyFont="1" applyFill="1" applyAlignment="1" applyProtection="1">
      <alignment vertical="center"/>
      <protection locked="0"/>
    </xf>
    <xf numFmtId="178" fontId="26" fillId="0" borderId="0" xfId="0" applyFont="1" applyFill="1" applyAlignment="1" applyProtection="1">
      <alignment vertical="center"/>
      <protection locked="0"/>
    </xf>
    <xf numFmtId="178" fontId="26" fillId="0" borderId="3" xfId="0" applyFont="1" applyFill="1" applyBorder="1" applyAlignment="1" applyProtection="1">
      <alignment vertical="center"/>
      <protection locked="0"/>
    </xf>
    <xf numFmtId="178" fontId="27" fillId="0" borderId="0" xfId="0" applyFont="1" applyFill="1" applyAlignment="1" applyProtection="1">
      <protection locked="0"/>
    </xf>
    <xf numFmtId="178" fontId="27" fillId="0" borderId="0" xfId="0" applyFont="1" applyFill="1" applyBorder="1" applyAlignment="1" applyProtection="1">
      <alignment horizontal="center"/>
      <protection locked="0"/>
    </xf>
    <xf numFmtId="178" fontId="27" fillId="0" borderId="0" xfId="0" applyFont="1" applyFill="1" applyAlignment="1" applyProtection="1">
      <alignment horizontal="right"/>
      <protection locked="0"/>
    </xf>
    <xf numFmtId="178" fontId="26" fillId="0" borderId="0" xfId="0" applyFont="1" applyFill="1" applyAlignment="1" applyProtection="1">
      <protection locked="0"/>
    </xf>
    <xf numFmtId="178" fontId="27" fillId="0" borderId="0" xfId="0" applyFont="1" applyFill="1" applyBorder="1" applyAlignment="1" applyProtection="1">
      <alignment horizontal="right"/>
      <protection locked="0"/>
    </xf>
    <xf numFmtId="178" fontId="27" fillId="0" borderId="0" xfId="0" applyFont="1" applyFill="1" applyAlignment="1" applyProtection="1">
      <alignment horizontal="left"/>
      <protection locked="0"/>
    </xf>
    <xf numFmtId="178" fontId="27" fillId="19" borderId="0" xfId="0" applyFont="1" applyFill="1" applyAlignment="1" applyProtection="1">
      <protection locked="0"/>
    </xf>
    <xf numFmtId="178" fontId="28" fillId="0" borderId="0" xfId="0" applyFont="1" applyBorder="1" applyAlignment="1" applyProtection="1">
      <alignment horizontal="center"/>
      <protection locked="0"/>
    </xf>
    <xf numFmtId="178" fontId="26" fillId="19" borderId="0" xfId="0" applyFont="1" applyFill="1" applyAlignment="1" applyProtection="1">
      <alignment vertical="center"/>
      <protection locked="0"/>
    </xf>
    <xf numFmtId="178" fontId="27" fillId="0" borderId="12" xfId="0" applyFont="1" applyFill="1" applyBorder="1" applyAlignment="1" applyProtection="1">
      <alignment horizontal="center"/>
      <protection locked="0"/>
    </xf>
    <xf numFmtId="178" fontId="26" fillId="0" borderId="12" xfId="0" applyFont="1" applyFill="1" applyBorder="1" applyAlignment="1" applyProtection="1">
      <alignment vertical="center"/>
      <protection locked="0"/>
    </xf>
    <xf numFmtId="178" fontId="27" fillId="0" borderId="12" xfId="0" applyFont="1" applyFill="1" applyBorder="1" applyAlignment="1" applyProtection="1">
      <protection locked="0"/>
    </xf>
    <xf numFmtId="178" fontId="28" fillId="0" borderId="12" xfId="0" applyFont="1" applyBorder="1" applyAlignment="1" applyProtection="1">
      <alignment horizontal="center"/>
      <protection locked="0"/>
    </xf>
    <xf numFmtId="178" fontId="26" fillId="0" borderId="14" xfId="0" applyFont="1" applyFill="1" applyBorder="1" applyAlignment="1" applyProtection="1">
      <alignment vertical="center"/>
      <protection locked="0"/>
    </xf>
    <xf numFmtId="178" fontId="27" fillId="0" borderId="14" xfId="0" applyFont="1" applyFill="1" applyBorder="1" applyAlignment="1" applyProtection="1">
      <alignment vertical="center"/>
      <protection locked="0"/>
    </xf>
    <xf numFmtId="178" fontId="28" fillId="0" borderId="0" xfId="0" applyFont="1" applyBorder="1" applyAlignment="1" applyProtection="1">
      <alignment horizontal="center" vertical="center"/>
      <protection locked="0"/>
    </xf>
    <xf numFmtId="178" fontId="6" fillId="0" borderId="0" xfId="5" applyNumberFormat="1" applyFont="1" applyBorder="1" applyAlignment="1" applyProtection="1">
      <alignment vertical="center"/>
      <protection locked="0"/>
    </xf>
    <xf numFmtId="178" fontId="6" fillId="0" borderId="0" xfId="5" applyNumberFormat="1" applyFont="1" applyAlignment="1" applyProtection="1">
      <alignment vertical="center"/>
      <protection locked="0"/>
    </xf>
    <xf numFmtId="178" fontId="5" fillId="0" borderId="0" xfId="5" applyNumberFormat="1" applyFont="1" applyBorder="1" applyAlignment="1" applyProtection="1">
      <alignment vertical="center"/>
      <protection locked="0"/>
    </xf>
    <xf numFmtId="178" fontId="6" fillId="0" borderId="0" xfId="10" applyNumberFormat="1" applyFont="1" applyBorder="1" applyAlignment="1" applyProtection="1">
      <alignment vertical="center"/>
      <protection locked="0"/>
    </xf>
    <xf numFmtId="178" fontId="55" fillId="0" borderId="0" xfId="5" applyNumberFormat="1" applyFont="1" applyBorder="1" applyAlignment="1" applyProtection="1">
      <alignment horizontal="right" vertical="center"/>
      <protection locked="0"/>
    </xf>
    <xf numFmtId="178" fontId="5" fillId="0" borderId="0" xfId="10" applyNumberFormat="1" applyFont="1" applyAlignment="1" applyProtection="1">
      <alignment horizontal="left" vertical="center"/>
      <protection locked="0"/>
    </xf>
    <xf numFmtId="178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178" fontId="6" fillId="0" borderId="0" xfId="5" applyNumberFormat="1" applyFont="1" applyAlignment="1" applyProtection="1">
      <protection locked="0"/>
    </xf>
    <xf numFmtId="178" fontId="6" fillId="0" borderId="0" xfId="13" quotePrefix="1" applyNumberFormat="1" applyFont="1" applyBorder="1" applyAlignment="1" applyProtection="1">
      <alignment horizontal="center" vertical="center"/>
      <protection locked="0"/>
    </xf>
    <xf numFmtId="178" fontId="6" fillId="0" borderId="0" xfId="13" applyNumberFormat="1" applyFont="1" applyBorder="1" applyProtection="1">
      <protection locked="0"/>
    </xf>
    <xf numFmtId="178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8" fontId="61" fillId="14" borderId="0" xfId="0" applyFont="1" applyFill="1" applyBorder="1" applyAlignment="1" applyProtection="1">
      <alignment vertical="center"/>
      <protection locked="0"/>
    </xf>
    <xf numFmtId="178" fontId="6" fillId="0" borderId="0" xfId="0" applyNumberFormat="1" applyFont="1" applyBorder="1" applyAlignment="1" applyProtection="1">
      <alignment vertical="center" shrinkToFit="1"/>
      <protection locked="0"/>
    </xf>
    <xf numFmtId="178" fontId="27" fillId="0" borderId="0" xfId="0" applyFont="1" applyFill="1" applyAlignment="1">
      <alignment vertical="center"/>
    </xf>
    <xf numFmtId="178" fontId="28" fillId="0" borderId="14" xfId="10" applyFont="1" applyBorder="1" applyAlignment="1">
      <alignment vertical="center"/>
    </xf>
    <xf numFmtId="178" fontId="6" fillId="0" borderId="0" xfId="0" applyNumberFormat="1" applyFont="1" applyBorder="1" applyAlignment="1">
      <alignment vertical="center" shrinkToFit="1"/>
    </xf>
    <xf numFmtId="178" fontId="64" fillId="0" borderId="0" xfId="10" applyNumberFormat="1" applyFont="1" applyAlignment="1">
      <alignment vertical="center"/>
    </xf>
    <xf numFmtId="178" fontId="1" fillId="3" borderId="5" xfId="2" applyFont="1" applyFill="1" applyBorder="1" applyAlignment="1">
      <alignment horizontal="center" vertical="center"/>
    </xf>
    <xf numFmtId="178" fontId="1" fillId="17" borderId="5" xfId="2" applyFont="1" applyFill="1" applyBorder="1" applyAlignment="1">
      <alignment horizontal="center" vertical="center"/>
    </xf>
    <xf numFmtId="178" fontId="1" fillId="5" borderId="10" xfId="2" applyFont="1" applyFill="1" applyBorder="1" applyAlignment="1">
      <alignment horizontal="center" vertical="center"/>
    </xf>
    <xf numFmtId="178" fontId="90" fillId="0" borderId="10" xfId="2" applyFont="1" applyFill="1" applyBorder="1" applyAlignment="1">
      <alignment horizontal="center" vertical="center"/>
    </xf>
    <xf numFmtId="178" fontId="1" fillId="17" borderId="10" xfId="2" applyFont="1" applyFill="1" applyBorder="1" applyAlignment="1">
      <alignment horizontal="center" vertical="center"/>
    </xf>
    <xf numFmtId="178" fontId="87" fillId="17" borderId="10" xfId="2" applyFont="1" applyFill="1" applyBorder="1" applyAlignment="1">
      <alignment horizontal="center" vertical="center"/>
    </xf>
    <xf numFmtId="178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9" fontId="93" fillId="17" borderId="10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68" fontId="90" fillId="0" borderId="10" xfId="2" applyNumberFormat="1" applyFont="1" applyFill="1" applyBorder="1" applyAlignment="1">
      <alignment horizontal="center" vertical="center"/>
    </xf>
    <xf numFmtId="168" fontId="92" fillId="0" borderId="10" xfId="2" applyNumberFormat="1" applyFont="1" applyFill="1" applyBorder="1" applyAlignment="1">
      <alignment horizontal="center" vertical="center"/>
    </xf>
    <xf numFmtId="168" fontId="91" fillId="10" borderId="10" xfId="2" applyNumberFormat="1" applyFont="1" applyFill="1" applyBorder="1" applyAlignment="1">
      <alignment horizontal="center" vertical="center"/>
    </xf>
    <xf numFmtId="2" fontId="1" fillId="0" borderId="10" xfId="2" applyNumberFormat="1" applyFont="1" applyFill="1" applyBorder="1" applyAlignment="1">
      <alignment horizontal="center" vertical="center"/>
    </xf>
    <xf numFmtId="49" fontId="1" fillId="23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6" borderId="10" xfId="2" applyNumberFormat="1" applyFont="1" applyFill="1" applyBorder="1" applyAlignment="1">
      <alignment horizontal="center" vertical="center"/>
    </xf>
    <xf numFmtId="169" fontId="96" fillId="0" borderId="10" xfId="0" applyNumberFormat="1" applyFont="1" applyBorder="1" applyAlignment="1">
      <alignment horizontal="center"/>
    </xf>
    <xf numFmtId="169" fontId="96" fillId="0" borderId="10" xfId="2" applyNumberFormat="1" applyFont="1" applyFill="1" applyBorder="1" applyAlignment="1">
      <alignment horizontal="center" vertical="center"/>
    </xf>
    <xf numFmtId="169" fontId="97" fillId="0" borderId="10" xfId="2" applyNumberFormat="1" applyFont="1" applyFill="1" applyBorder="1" applyAlignment="1">
      <alignment horizontal="center" vertical="center"/>
    </xf>
    <xf numFmtId="169" fontId="98" fillId="0" borderId="10" xfId="2" applyNumberFormat="1" applyFont="1" applyFill="1" applyBorder="1" applyAlignment="1">
      <alignment horizontal="center" vertical="center"/>
    </xf>
    <xf numFmtId="178" fontId="101" fillId="0" borderId="18" xfId="0" applyFont="1" applyBorder="1" applyAlignment="1">
      <alignment horizontal="center"/>
    </xf>
    <xf numFmtId="178" fontId="101" fillId="0" borderId="18" xfId="0" applyFont="1" applyBorder="1"/>
    <xf numFmtId="178" fontId="101" fillId="0" borderId="19" xfId="0" applyFont="1" applyBorder="1" applyAlignment="1">
      <alignment horizontal="center"/>
    </xf>
    <xf numFmtId="178" fontId="101" fillId="0" borderId="19" xfId="0" applyFont="1" applyBorder="1"/>
    <xf numFmtId="49" fontId="1" fillId="0" borderId="0" xfId="0" applyNumberFormat="1" applyFont="1" applyAlignment="1">
      <alignment horizontal="left" vertical="center"/>
    </xf>
    <xf numFmtId="178" fontId="1" fillId="0" borderId="18" xfId="0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178" fontId="87" fillId="0" borderId="0" xfId="0" applyFont="1"/>
    <xf numFmtId="178" fontId="1" fillId="0" borderId="0" xfId="2" applyFont="1" applyFill="1" applyAlignment="1">
      <alignment horizontal="center" vertical="center"/>
    </xf>
    <xf numFmtId="178" fontId="1" fillId="0" borderId="0" xfId="2" applyFont="1" applyFill="1" applyBorder="1" applyAlignment="1">
      <alignment horizontal="right" vertical="center"/>
    </xf>
    <xf numFmtId="49" fontId="1" fillId="0" borderId="19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right" vertical="center"/>
    </xf>
    <xf numFmtId="2" fontId="87" fillId="0" borderId="0" xfId="0" applyNumberFormat="1" applyFont="1" applyAlignment="1">
      <alignment horizontal="right" vertical="center"/>
    </xf>
    <xf numFmtId="2" fontId="1" fillId="0" borderId="19" xfId="0" applyNumberFormat="1" applyFont="1" applyBorder="1" applyAlignment="1">
      <alignment horizontal="left" vertical="center"/>
    </xf>
    <xf numFmtId="179" fontId="1" fillId="0" borderId="19" xfId="0" applyNumberFormat="1" applyFont="1" applyBorder="1" applyAlignment="1">
      <alignment horizontal="right" vertical="center"/>
    </xf>
    <xf numFmtId="49" fontId="1" fillId="27" borderId="0" xfId="0" applyNumberFormat="1" applyFont="1" applyFill="1" applyAlignment="1">
      <alignment horizontal="left" vertical="center"/>
    </xf>
    <xf numFmtId="171" fontId="88" fillId="19" borderId="8" xfId="0" applyNumberFormat="1" applyFont="1" applyFill="1" applyBorder="1" applyAlignment="1" applyProtection="1">
      <alignment horizontal="center" vertical="center"/>
      <protection locked="0"/>
    </xf>
    <xf numFmtId="171" fontId="88" fillId="19" borderId="14" xfId="0" applyNumberFormat="1" applyFont="1" applyFill="1" applyBorder="1" applyAlignment="1" applyProtection="1">
      <alignment horizontal="center" vertical="center"/>
      <protection locked="0"/>
    </xf>
    <xf numFmtId="171" fontId="88" fillId="19" borderId="9" xfId="0" applyNumberFormat="1" applyFont="1" applyFill="1" applyBorder="1" applyAlignment="1" applyProtection="1">
      <alignment horizontal="center" vertical="center"/>
      <protection locked="0"/>
    </xf>
    <xf numFmtId="171" fontId="88" fillId="19" borderId="6" xfId="0" applyNumberFormat="1" applyFont="1" applyFill="1" applyBorder="1" applyAlignment="1" applyProtection="1">
      <alignment horizontal="center" vertical="center"/>
      <protection locked="0"/>
    </xf>
    <xf numFmtId="171" fontId="88" fillId="19" borderId="0" xfId="0" applyNumberFormat="1" applyFont="1" applyFill="1" applyBorder="1" applyAlignment="1" applyProtection="1">
      <alignment horizontal="center" vertical="center"/>
      <protection locked="0"/>
    </xf>
    <xf numFmtId="171" fontId="88" fillId="19" borderId="7" xfId="0" applyNumberFormat="1" applyFont="1" applyFill="1" applyBorder="1" applyAlignment="1" applyProtection="1">
      <alignment horizontal="center" vertical="center"/>
      <protection locked="0"/>
    </xf>
    <xf numFmtId="173" fontId="24" fillId="0" borderId="8" xfId="0" applyNumberFormat="1" applyFont="1" applyFill="1" applyBorder="1" applyAlignment="1">
      <alignment horizontal="center" vertical="center"/>
    </xf>
    <xf numFmtId="173" fontId="24" fillId="0" borderId="14" xfId="0" applyNumberFormat="1" applyFont="1" applyFill="1" applyBorder="1" applyAlignment="1">
      <alignment horizontal="center" vertical="center"/>
    </xf>
    <xf numFmtId="171" fontId="24" fillId="14" borderId="8" xfId="0" applyNumberFormat="1" applyFont="1" applyFill="1" applyBorder="1" applyAlignment="1" applyProtection="1">
      <alignment horizontal="center" vertical="center"/>
    </xf>
    <xf numFmtId="171" fontId="24" fillId="14" borderId="14" xfId="0" applyNumberFormat="1" applyFont="1" applyFill="1" applyBorder="1" applyAlignment="1" applyProtection="1">
      <alignment horizontal="center" vertical="center"/>
    </xf>
    <xf numFmtId="171" fontId="24" fillId="14" borderId="9" xfId="0" applyNumberFormat="1" applyFont="1" applyFill="1" applyBorder="1" applyAlignment="1" applyProtection="1">
      <alignment horizontal="center" vertical="center"/>
    </xf>
    <xf numFmtId="178" fontId="87" fillId="22" borderId="8" xfId="0" applyFont="1" applyFill="1" applyBorder="1" applyAlignment="1">
      <alignment horizontal="center" vertical="center"/>
    </xf>
    <xf numFmtId="178" fontId="87" fillId="22" borderId="14" xfId="0" applyFont="1" applyFill="1" applyBorder="1" applyAlignment="1">
      <alignment horizontal="center" vertical="center"/>
    </xf>
    <xf numFmtId="178" fontId="87" fillId="22" borderId="9" xfId="0" applyFont="1" applyFill="1" applyBorder="1" applyAlignment="1">
      <alignment horizontal="center" vertical="center"/>
    </xf>
    <xf numFmtId="178" fontId="87" fillId="22" borderId="6" xfId="0" applyFont="1" applyFill="1" applyBorder="1" applyAlignment="1">
      <alignment horizontal="center" vertical="center"/>
    </xf>
    <xf numFmtId="178" fontId="87" fillId="22" borderId="0" xfId="0" applyFont="1" applyFill="1" applyBorder="1" applyAlignment="1">
      <alignment horizontal="center" vertical="center"/>
    </xf>
    <xf numFmtId="178" fontId="87" fillId="22" borderId="7" xfId="0" applyFont="1" applyFill="1" applyBorder="1" applyAlignment="1">
      <alignment horizontal="center" vertical="center"/>
    </xf>
    <xf numFmtId="178" fontId="87" fillId="20" borderId="2" xfId="0" applyFont="1" applyFill="1" applyBorder="1" applyAlignment="1">
      <alignment horizontal="center" vertical="center"/>
    </xf>
    <xf numFmtId="178" fontId="87" fillId="20" borderId="3" xfId="0" applyFont="1" applyFill="1" applyBorder="1" applyAlignment="1">
      <alignment horizontal="center" vertical="center"/>
    </xf>
    <xf numFmtId="178" fontId="87" fillId="20" borderId="4" xfId="0" applyFont="1" applyFill="1" applyBorder="1" applyAlignment="1">
      <alignment horizontal="center" vertical="center"/>
    </xf>
    <xf numFmtId="173" fontId="87" fillId="20" borderId="5" xfId="0" applyNumberFormat="1" applyFont="1" applyFill="1" applyBorder="1" applyAlignment="1">
      <alignment horizontal="left" vertical="center"/>
    </xf>
    <xf numFmtId="173" fontId="87" fillId="20" borderId="17" xfId="0" applyNumberFormat="1" applyFont="1" applyFill="1" applyBorder="1" applyAlignment="1">
      <alignment horizontal="left" vertical="center"/>
    </xf>
    <xf numFmtId="178" fontId="87" fillId="23" borderId="11" xfId="0" applyFont="1" applyFill="1" applyBorder="1" applyAlignment="1">
      <alignment horizontal="center" vertical="center"/>
    </xf>
    <xf numFmtId="178" fontId="87" fillId="23" borderId="12" xfId="0" applyFont="1" applyFill="1" applyBorder="1" applyAlignment="1">
      <alignment horizontal="center" vertical="center"/>
    </xf>
    <xf numFmtId="178" fontId="87" fillId="23" borderId="13" xfId="0" applyFont="1" applyFill="1" applyBorder="1" applyAlignment="1">
      <alignment horizontal="center" vertical="center"/>
    </xf>
    <xf numFmtId="173" fontId="24" fillId="0" borderId="0" xfId="0" applyNumberFormat="1" applyFont="1" applyFill="1" applyBorder="1" applyAlignment="1">
      <alignment horizontal="center" vertical="center"/>
    </xf>
    <xf numFmtId="178" fontId="27" fillId="0" borderId="3" xfId="0" applyFont="1" applyFill="1" applyBorder="1" applyAlignment="1" applyProtection="1">
      <alignment horizontal="left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178" fontId="27" fillId="19" borderId="14" xfId="0" applyFont="1" applyFill="1" applyBorder="1" applyAlignment="1" applyProtection="1">
      <alignment horizontal="center"/>
      <protection locked="0"/>
    </xf>
    <xf numFmtId="178" fontId="27" fillId="19" borderId="12" xfId="0" applyFont="1" applyFill="1" applyBorder="1" applyAlignment="1" applyProtection="1">
      <alignment horizontal="center"/>
      <protection locked="0"/>
    </xf>
    <xf numFmtId="173" fontId="87" fillId="20" borderId="6" xfId="0" applyNumberFormat="1" applyFont="1" applyFill="1" applyBorder="1" applyAlignment="1">
      <alignment horizontal="left" vertical="center"/>
    </xf>
    <xf numFmtId="173" fontId="87" fillId="20" borderId="0" xfId="0" applyNumberFormat="1" applyFont="1" applyFill="1" applyBorder="1" applyAlignment="1">
      <alignment horizontal="left" vertical="center"/>
    </xf>
    <xf numFmtId="173" fontId="87" fillId="20" borderId="7" xfId="0" applyNumberFormat="1" applyFont="1" applyFill="1" applyBorder="1" applyAlignment="1">
      <alignment horizontal="left" vertical="center"/>
    </xf>
    <xf numFmtId="178" fontId="24" fillId="0" borderId="0" xfId="0" applyFont="1" applyFill="1" applyAlignment="1">
      <alignment horizontal="right" vertical="center"/>
    </xf>
    <xf numFmtId="178" fontId="27" fillId="0" borderId="0" xfId="0" applyFont="1" applyFill="1" applyBorder="1" applyAlignment="1" applyProtection="1">
      <alignment horizontal="center"/>
      <protection locked="0"/>
    </xf>
    <xf numFmtId="178" fontId="25" fillId="0" borderId="0" xfId="0" applyFont="1" applyFill="1" applyBorder="1" applyAlignment="1">
      <alignment horizontal="center" vertical="center"/>
    </xf>
    <xf numFmtId="49" fontId="87" fillId="20" borderId="2" xfId="0" applyNumberFormat="1" applyFont="1" applyFill="1" applyBorder="1" applyAlignment="1">
      <alignment horizontal="center" vertical="center"/>
    </xf>
    <xf numFmtId="49" fontId="87" fillId="20" borderId="3" xfId="0" applyNumberFormat="1" applyFont="1" applyFill="1" applyBorder="1" applyAlignment="1">
      <alignment horizontal="center" vertical="center"/>
    </xf>
    <xf numFmtId="49" fontId="87" fillId="20" borderId="4" xfId="0" applyNumberFormat="1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top"/>
    </xf>
    <xf numFmtId="49" fontId="87" fillId="20" borderId="14" xfId="0" applyNumberFormat="1" applyFont="1" applyFill="1" applyBorder="1" applyAlignment="1">
      <alignment horizontal="center" vertical="top"/>
    </xf>
    <xf numFmtId="49" fontId="87" fillId="20" borderId="9" xfId="0" applyNumberFormat="1" applyFont="1" applyFill="1" applyBorder="1" applyAlignment="1">
      <alignment horizontal="center" vertical="top"/>
    </xf>
    <xf numFmtId="178" fontId="27" fillId="0" borderId="3" xfId="0" applyFont="1" applyFill="1" applyBorder="1" applyAlignment="1" applyProtection="1">
      <alignment horizontal="center"/>
      <protection locked="0"/>
    </xf>
    <xf numFmtId="178" fontId="27" fillId="19" borderId="12" xfId="0" applyFont="1" applyFill="1" applyBorder="1" applyAlignment="1" applyProtection="1">
      <alignment horizontal="left"/>
      <protection locked="0"/>
    </xf>
    <xf numFmtId="178" fontId="27" fillId="14" borderId="3" xfId="0" applyFont="1" applyFill="1" applyBorder="1" applyAlignment="1" applyProtection="1">
      <alignment horizontal="left"/>
      <protection locked="0"/>
    </xf>
    <xf numFmtId="178" fontId="27" fillId="0" borderId="14" xfId="19" applyFont="1" applyFill="1" applyBorder="1" applyAlignment="1" applyProtection="1">
      <alignment horizontal="center"/>
      <protection locked="0"/>
    </xf>
    <xf numFmtId="178" fontId="27" fillId="19" borderId="14" xfId="19" applyNumberFormat="1" applyFont="1" applyFill="1" applyBorder="1" applyAlignment="1" applyProtection="1">
      <alignment horizontal="left"/>
      <protection locked="0"/>
    </xf>
    <xf numFmtId="178" fontId="27" fillId="19" borderId="14" xfId="19" applyFont="1" applyFill="1" applyBorder="1" applyAlignment="1" applyProtection="1">
      <alignment horizontal="center"/>
      <protection locked="0"/>
    </xf>
    <xf numFmtId="178" fontId="27" fillId="19" borderId="14" xfId="19" applyFont="1" applyFill="1" applyBorder="1" applyAlignment="1" applyProtection="1">
      <alignment horizontal="left"/>
      <protection locked="0"/>
    </xf>
    <xf numFmtId="178" fontId="27" fillId="19" borderId="14" xfId="0" applyFont="1" applyFill="1" applyBorder="1" applyAlignment="1" applyProtection="1">
      <alignment horizontal="left"/>
      <protection locked="0"/>
    </xf>
    <xf numFmtId="178" fontId="26" fillId="19" borderId="14" xfId="0" applyFont="1" applyFill="1" applyBorder="1" applyAlignment="1" applyProtection="1">
      <alignment horizontal="left"/>
      <protection locked="0"/>
    </xf>
    <xf numFmtId="178" fontId="23" fillId="12" borderId="0" xfId="19" applyFont="1" applyFill="1" applyBorder="1" applyAlignment="1" applyProtection="1">
      <alignment horizontal="center" vertical="center"/>
      <protection locked="0"/>
    </xf>
    <xf numFmtId="178" fontId="24" fillId="13" borderId="0" xfId="19" applyFont="1" applyFill="1" applyBorder="1" applyAlignment="1" applyProtection="1">
      <alignment horizontal="center" vertical="center"/>
      <protection locked="0"/>
    </xf>
    <xf numFmtId="178" fontId="33" fillId="15" borderId="0" xfId="19" applyFont="1" applyFill="1" applyBorder="1" applyAlignment="1" applyProtection="1">
      <alignment horizontal="center" vertical="center"/>
      <protection locked="0"/>
    </xf>
    <xf numFmtId="178" fontId="27" fillId="19" borderId="12" xfId="19" applyFont="1" applyFill="1" applyBorder="1" applyAlignment="1" applyProtection="1">
      <alignment horizontal="center"/>
      <protection locked="0"/>
    </xf>
    <xf numFmtId="171" fontId="87" fillId="22" borderId="6" xfId="0" applyNumberFormat="1" applyFont="1" applyFill="1" applyBorder="1" applyAlignment="1" applyProtection="1">
      <alignment horizontal="center" vertical="center"/>
    </xf>
    <xf numFmtId="171" fontId="87" fillId="22" borderId="0" xfId="0" applyNumberFormat="1" applyFont="1" applyFill="1" applyBorder="1" applyAlignment="1" applyProtection="1">
      <alignment horizontal="center" vertical="center"/>
    </xf>
    <xf numFmtId="171" fontId="87" fillId="22" borderId="7" xfId="0" applyNumberFormat="1" applyFont="1" applyFill="1" applyBorder="1" applyAlignment="1" applyProtection="1">
      <alignment horizontal="center" vertical="center"/>
    </xf>
    <xf numFmtId="171" fontId="87" fillId="22" borderId="8" xfId="0" applyNumberFormat="1" applyFont="1" applyFill="1" applyBorder="1" applyAlignment="1" applyProtection="1">
      <alignment horizontal="center" vertical="center"/>
    </xf>
    <xf numFmtId="171" fontId="87" fillId="22" borderId="14" xfId="0" applyNumberFormat="1" applyFont="1" applyFill="1" applyBorder="1" applyAlignment="1" applyProtection="1">
      <alignment horizontal="center" vertical="center"/>
    </xf>
    <xf numFmtId="171" fontId="87" fillId="22" borderId="9" xfId="0" applyNumberFormat="1" applyFont="1" applyFill="1" applyBorder="1" applyAlignment="1" applyProtection="1">
      <alignment horizontal="center" vertical="center"/>
    </xf>
    <xf numFmtId="49" fontId="87" fillId="20" borderId="11" xfId="0" applyNumberFormat="1" applyFont="1" applyFill="1" applyBorder="1" applyAlignment="1">
      <alignment horizontal="center" vertical="center"/>
    </xf>
    <xf numFmtId="49" fontId="87" fillId="20" borderId="12" xfId="0" applyNumberFormat="1" applyFont="1" applyFill="1" applyBorder="1" applyAlignment="1">
      <alignment horizontal="center" vertical="center"/>
    </xf>
    <xf numFmtId="49" fontId="87" fillId="20" borderId="13" xfId="0" applyNumberFormat="1" applyFont="1" applyFill="1" applyBorder="1" applyAlignment="1">
      <alignment horizontal="center" vertical="center"/>
    </xf>
    <xf numFmtId="1" fontId="87" fillId="20" borderId="6" xfId="0" applyNumberFormat="1" applyFont="1" applyFill="1" applyBorder="1" applyAlignment="1">
      <alignment horizontal="center" vertical="center"/>
    </xf>
    <xf numFmtId="1" fontId="87" fillId="20" borderId="0" xfId="0" applyNumberFormat="1" applyFont="1" applyFill="1" applyBorder="1" applyAlignment="1">
      <alignment horizontal="center" vertical="center"/>
    </xf>
    <xf numFmtId="1" fontId="87" fillId="20" borderId="7" xfId="0" applyNumberFormat="1" applyFont="1" applyFill="1" applyBorder="1" applyAlignment="1">
      <alignment horizontal="center" vertical="center"/>
    </xf>
    <xf numFmtId="1" fontId="87" fillId="20" borderId="8" xfId="0" applyNumberFormat="1" applyFont="1" applyFill="1" applyBorder="1" applyAlignment="1">
      <alignment horizontal="center" vertical="center"/>
    </xf>
    <xf numFmtId="1" fontId="87" fillId="20" borderId="14" xfId="0" applyNumberFormat="1" applyFont="1" applyFill="1" applyBorder="1" applyAlignment="1">
      <alignment horizontal="center" vertical="center"/>
    </xf>
    <xf numFmtId="1" fontId="87" fillId="20" borderId="9" xfId="0" applyNumberFormat="1" applyFont="1" applyFill="1" applyBorder="1" applyAlignment="1">
      <alignment horizontal="center" vertical="center"/>
    </xf>
    <xf numFmtId="171" fontId="88" fillId="19" borderId="11" xfId="0" applyNumberFormat="1" applyFont="1" applyFill="1" applyBorder="1" applyAlignment="1" applyProtection="1">
      <alignment horizontal="center" vertical="center"/>
      <protection locked="0"/>
    </xf>
    <xf numFmtId="171" fontId="88" fillId="19" borderId="12" xfId="0" applyNumberFormat="1" applyFont="1" applyFill="1" applyBorder="1" applyAlignment="1" applyProtection="1">
      <alignment horizontal="center" vertical="center"/>
      <protection locked="0"/>
    </xf>
    <xf numFmtId="171" fontId="88" fillId="19" borderId="13" xfId="0" applyNumberFormat="1" applyFont="1" applyFill="1" applyBorder="1" applyAlignment="1" applyProtection="1">
      <alignment horizontal="center" vertical="center"/>
      <protection locked="0"/>
    </xf>
    <xf numFmtId="178" fontId="87" fillId="20" borderId="10" xfId="0" applyFont="1" applyFill="1" applyBorder="1" applyAlignment="1">
      <alignment horizontal="center" vertical="center"/>
    </xf>
    <xf numFmtId="178" fontId="87" fillId="20" borderId="11" xfId="0" applyFont="1" applyFill="1" applyBorder="1" applyAlignment="1">
      <alignment horizontal="center" vertical="center"/>
    </xf>
    <xf numFmtId="178" fontId="87" fillId="20" borderId="12" xfId="0" applyFont="1" applyFill="1" applyBorder="1" applyAlignment="1">
      <alignment horizontal="center" vertical="center"/>
    </xf>
    <xf numFmtId="178" fontId="87" fillId="20" borderId="13" xfId="0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center"/>
    </xf>
    <xf numFmtId="49" fontId="87" fillId="20" borderId="14" xfId="0" applyNumberFormat="1" applyFont="1" applyFill="1" applyBorder="1" applyAlignment="1">
      <alignment horizontal="center" vertical="center"/>
    </xf>
    <xf numFmtId="49" fontId="87" fillId="20" borderId="9" xfId="0" applyNumberFormat="1" applyFont="1" applyFill="1" applyBorder="1" applyAlignment="1">
      <alignment horizontal="center" vertical="center"/>
    </xf>
    <xf numFmtId="178" fontId="87" fillId="22" borderId="2" xfId="0" applyFont="1" applyFill="1" applyBorder="1" applyAlignment="1">
      <alignment horizontal="center" vertical="center"/>
    </xf>
    <xf numFmtId="178" fontId="87" fillId="22" borderId="3" xfId="0" applyFont="1" applyFill="1" applyBorder="1" applyAlignment="1">
      <alignment horizontal="center" vertical="center"/>
    </xf>
    <xf numFmtId="178" fontId="87" fillId="22" borderId="4" xfId="0" applyFont="1" applyFill="1" applyBorder="1" applyAlignment="1">
      <alignment horizontal="center" vertical="center"/>
    </xf>
    <xf numFmtId="171" fontId="88" fillId="19" borderId="2" xfId="0" applyNumberFormat="1" applyFont="1" applyFill="1" applyBorder="1" applyAlignment="1" applyProtection="1">
      <alignment horizontal="center" vertical="center"/>
      <protection locked="0"/>
    </xf>
    <xf numFmtId="171" fontId="88" fillId="19" borderId="3" xfId="0" applyNumberFormat="1" applyFont="1" applyFill="1" applyBorder="1" applyAlignment="1" applyProtection="1">
      <alignment horizontal="center" vertical="center"/>
      <protection locked="0"/>
    </xf>
    <xf numFmtId="171" fontId="87" fillId="22" borderId="2" xfId="0" applyNumberFormat="1" applyFont="1" applyFill="1" applyBorder="1" applyAlignment="1" applyProtection="1">
      <alignment horizontal="center" vertical="center"/>
    </xf>
    <xf numFmtId="171" fontId="87" fillId="22" borderId="3" xfId="0" applyNumberFormat="1" applyFont="1" applyFill="1" applyBorder="1" applyAlignment="1" applyProtection="1">
      <alignment horizontal="center" vertical="center"/>
    </xf>
    <xf numFmtId="171" fontId="87" fillId="22" borderId="4" xfId="0" applyNumberFormat="1" applyFont="1" applyFill="1" applyBorder="1" applyAlignment="1" applyProtection="1">
      <alignment horizontal="center" vertical="center"/>
    </xf>
    <xf numFmtId="171" fontId="87" fillId="21" borderId="10" xfId="0" applyNumberFormat="1" applyFont="1" applyFill="1" applyBorder="1" applyAlignment="1" applyProtection="1">
      <alignment horizontal="center" vertical="center"/>
    </xf>
    <xf numFmtId="178" fontId="62" fillId="0" borderId="0" xfId="10" applyFont="1" applyAlignment="1">
      <alignment horizontal="center" vertical="center"/>
    </xf>
    <xf numFmtId="178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8" fontId="64" fillId="0" borderId="0" xfId="5" quotePrefix="1" applyNumberFormat="1" applyFont="1" applyBorder="1" applyAlignment="1">
      <alignment horizontal="left" vertical="center"/>
    </xf>
    <xf numFmtId="178" fontId="64" fillId="0" borderId="0" xfId="5" applyNumberFormat="1" applyFont="1" applyBorder="1" applyAlignment="1">
      <alignment horizontal="left" vertical="center"/>
    </xf>
    <xf numFmtId="178" fontId="64" fillId="0" borderId="0" xfId="10" applyFont="1" applyBorder="1" applyAlignment="1">
      <alignment horizontal="center" vertical="center"/>
    </xf>
    <xf numFmtId="178" fontId="64" fillId="0" borderId="0" xfId="10" applyFont="1" applyAlignment="1">
      <alignment horizontal="center" vertical="center"/>
    </xf>
    <xf numFmtId="178" fontId="64" fillId="0" borderId="0" xfId="10" applyNumberFormat="1" applyFont="1" applyAlignment="1">
      <alignment horizontal="left" vertical="center"/>
    </xf>
    <xf numFmtId="178" fontId="8" fillId="0" borderId="0" xfId="5" quotePrefix="1" applyNumberFormat="1" applyFont="1" applyBorder="1" applyAlignment="1">
      <alignment horizontal="left" vertical="center"/>
    </xf>
    <xf numFmtId="178" fontId="8" fillId="0" borderId="0" xfId="5" applyNumberFormat="1" applyFont="1" applyBorder="1" applyAlignment="1">
      <alignment horizontal="left" vertical="center"/>
    </xf>
    <xf numFmtId="178" fontId="8" fillId="0" borderId="0" xfId="10" applyNumberFormat="1" applyFont="1" applyBorder="1" applyAlignment="1">
      <alignment horizontal="left" vertical="center"/>
    </xf>
    <xf numFmtId="178" fontId="48" fillId="0" borderId="0" xfId="10" applyFont="1" applyBorder="1" applyAlignment="1">
      <alignment horizontal="right" vertical="center"/>
    </xf>
    <xf numFmtId="178" fontId="8" fillId="0" borderId="0" xfId="10" applyFont="1" applyBorder="1" applyAlignment="1">
      <alignment horizontal="center" vertical="center"/>
    </xf>
    <xf numFmtId="178" fontId="6" fillId="0" borderId="0" xfId="10" applyFont="1" applyBorder="1" applyAlignment="1">
      <alignment horizontal="center" vertical="center"/>
    </xf>
    <xf numFmtId="178" fontId="6" fillId="0" borderId="11" xfId="10" applyFont="1" applyBorder="1" applyAlignment="1">
      <alignment horizontal="center" vertical="center"/>
    </xf>
    <xf numFmtId="178" fontId="6" fillId="0" borderId="12" xfId="10" applyFont="1" applyBorder="1" applyAlignment="1">
      <alignment horizontal="center" vertical="center"/>
    </xf>
    <xf numFmtId="178" fontId="6" fillId="0" borderId="13" xfId="10" applyFont="1" applyBorder="1" applyAlignment="1">
      <alignment horizontal="center" vertical="center"/>
    </xf>
    <xf numFmtId="178" fontId="6" fillId="0" borderId="11" xfId="10" quotePrefix="1" applyFont="1" applyBorder="1" applyAlignment="1">
      <alignment horizontal="center" vertical="center"/>
    </xf>
    <xf numFmtId="178" fontId="6" fillId="0" borderId="12" xfId="10" quotePrefix="1" applyFont="1" applyBorder="1" applyAlignment="1">
      <alignment horizontal="center" vertical="center"/>
    </xf>
    <xf numFmtId="178" fontId="6" fillId="0" borderId="13" xfId="10" quotePrefix="1" applyFont="1" applyBorder="1" applyAlignment="1">
      <alignment horizontal="center" vertical="center"/>
    </xf>
    <xf numFmtId="178" fontId="6" fillId="0" borderId="11" xfId="10" quotePrefix="1" applyNumberFormat="1" applyFont="1" applyBorder="1" applyAlignment="1">
      <alignment horizontal="center" vertical="center"/>
    </xf>
    <xf numFmtId="178" fontId="6" fillId="0" borderId="12" xfId="10" applyNumberFormat="1" applyFont="1" applyBorder="1" applyAlignment="1">
      <alignment horizontal="center" vertical="center"/>
    </xf>
    <xf numFmtId="178" fontId="6" fillId="0" borderId="13" xfId="10" applyNumberFormat="1" applyFont="1" applyBorder="1" applyAlignment="1">
      <alignment horizontal="center" vertical="center"/>
    </xf>
    <xf numFmtId="178" fontId="5" fillId="0" borderId="11" xfId="10" applyFont="1" applyBorder="1" applyAlignment="1">
      <alignment horizontal="center" vertical="center"/>
    </xf>
    <xf numFmtId="178" fontId="5" fillId="0" borderId="12" xfId="10" applyFont="1" applyBorder="1" applyAlignment="1">
      <alignment horizontal="center" vertical="center"/>
    </xf>
    <xf numFmtId="178" fontId="5" fillId="0" borderId="13" xfId="10" applyFont="1" applyBorder="1" applyAlignment="1">
      <alignment horizontal="center" vertical="center"/>
    </xf>
    <xf numFmtId="178" fontId="39" fillId="0" borderId="0" xfId="10" applyFont="1" applyAlignment="1">
      <alignment horizontal="center" vertical="center"/>
    </xf>
    <xf numFmtId="178" fontId="57" fillId="0" borderId="0" xfId="10" applyFont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 shrinkToFit="1"/>
    </xf>
    <xf numFmtId="171" fontId="6" fillId="0" borderId="11" xfId="5" applyNumberFormat="1" applyFont="1" applyFill="1" applyBorder="1" applyAlignment="1" applyProtection="1">
      <alignment horizontal="center" vertical="center"/>
    </xf>
    <xf numFmtId="171" fontId="6" fillId="0" borderId="12" xfId="5" applyNumberFormat="1" applyFont="1" applyFill="1" applyBorder="1" applyAlignment="1" applyProtection="1">
      <alignment horizontal="center" vertical="center"/>
    </xf>
    <xf numFmtId="171" fontId="6" fillId="0" borderId="13" xfId="5" applyNumberFormat="1" applyFont="1" applyFill="1" applyBorder="1" applyAlignment="1" applyProtection="1">
      <alignment horizontal="center" vertical="center"/>
    </xf>
    <xf numFmtId="171" fontId="6" fillId="0" borderId="2" xfId="5" applyNumberFormat="1" applyFont="1" applyFill="1" applyBorder="1" applyAlignment="1" applyProtection="1">
      <alignment horizontal="center" vertical="center"/>
    </xf>
    <xf numFmtId="171" fontId="6" fillId="0" borderId="3" xfId="5" applyNumberFormat="1" applyFont="1" applyFill="1" applyBorder="1" applyAlignment="1" applyProtection="1">
      <alignment horizontal="center" vertical="center"/>
    </xf>
    <xf numFmtId="171" fontId="6" fillId="0" borderId="4" xfId="5" applyNumberFormat="1" applyFont="1" applyFill="1" applyBorder="1" applyAlignment="1" applyProtection="1">
      <alignment horizontal="center" vertical="center"/>
    </xf>
    <xf numFmtId="178" fontId="6" fillId="0" borderId="6" xfId="5" applyNumberFormat="1" applyFont="1" applyBorder="1" applyAlignment="1" applyProtection="1">
      <alignment horizontal="center" vertical="center"/>
      <protection locked="0"/>
    </xf>
    <xf numFmtId="178" fontId="6" fillId="0" borderId="0" xfId="5" applyNumberFormat="1" applyFont="1" applyBorder="1" applyAlignment="1" applyProtection="1">
      <alignment horizontal="center" vertical="center"/>
      <protection locked="0"/>
    </xf>
    <xf numFmtId="178" fontId="6" fillId="0" borderId="7" xfId="5" applyNumberFormat="1" applyFont="1" applyBorder="1" applyAlignment="1" applyProtection="1">
      <alignment horizontal="center" vertical="center"/>
      <protection locked="0"/>
    </xf>
    <xf numFmtId="178" fontId="6" fillId="0" borderId="8" xfId="5" applyNumberFormat="1" applyFont="1" applyBorder="1" applyAlignment="1" applyProtection="1">
      <alignment horizontal="center" vertical="center"/>
      <protection locked="0"/>
    </xf>
    <xf numFmtId="178" fontId="6" fillId="0" borderId="14" xfId="5" applyNumberFormat="1" applyFont="1" applyBorder="1" applyAlignment="1" applyProtection="1">
      <alignment horizontal="center" vertical="center"/>
      <protection locked="0"/>
    </xf>
    <xf numFmtId="178" fontId="6" fillId="0" borderId="9" xfId="5" applyNumberFormat="1" applyFont="1" applyBorder="1" applyAlignment="1" applyProtection="1">
      <alignment horizontal="center" vertical="center"/>
      <protection locked="0"/>
    </xf>
    <xf numFmtId="171" fontId="6" fillId="0" borderId="6" xfId="5" applyNumberFormat="1" applyFont="1" applyBorder="1" applyAlignment="1" applyProtection="1">
      <alignment horizontal="center" vertical="center"/>
      <protection locked="0"/>
    </xf>
    <xf numFmtId="171" fontId="6" fillId="0" borderId="0" xfId="5" applyNumberFormat="1" applyFont="1" applyBorder="1" applyAlignment="1" applyProtection="1">
      <alignment horizontal="center" vertical="center"/>
      <protection locked="0"/>
    </xf>
    <xf numFmtId="171" fontId="6" fillId="0" borderId="7" xfId="5" applyNumberFormat="1" applyFont="1" applyBorder="1" applyAlignment="1" applyProtection="1">
      <alignment horizontal="center" vertical="center"/>
      <protection locked="0"/>
    </xf>
    <xf numFmtId="171" fontId="6" fillId="2" borderId="2" xfId="0" applyNumberFormat="1" applyFont="1" applyFill="1" applyBorder="1" applyAlignment="1" applyProtection="1">
      <alignment horizontal="right" vertical="center"/>
      <protection locked="0"/>
    </xf>
    <xf numFmtId="171" fontId="6" fillId="2" borderId="3" xfId="0" applyNumberFormat="1" applyFont="1" applyFill="1" applyBorder="1" applyAlignment="1" applyProtection="1">
      <alignment horizontal="right" vertical="center"/>
      <protection locked="0"/>
    </xf>
    <xf numFmtId="171" fontId="6" fillId="2" borderId="8" xfId="0" applyNumberFormat="1" applyFont="1" applyFill="1" applyBorder="1" applyAlignment="1" applyProtection="1">
      <alignment horizontal="right" vertical="center"/>
      <protection locked="0"/>
    </xf>
    <xf numFmtId="171" fontId="6" fillId="2" borderId="14" xfId="0" applyNumberFormat="1" applyFont="1" applyFill="1" applyBorder="1" applyAlignment="1" applyProtection="1">
      <alignment horizontal="right" vertical="center"/>
      <protection locked="0"/>
    </xf>
    <xf numFmtId="171" fontId="6" fillId="0" borderId="8" xfId="5" applyNumberFormat="1" applyFont="1" applyBorder="1" applyAlignment="1" applyProtection="1">
      <alignment horizontal="center" vertical="center"/>
      <protection locked="0"/>
    </xf>
    <xf numFmtId="171" fontId="6" fillId="0" borderId="14" xfId="5" applyNumberFormat="1" applyFont="1" applyBorder="1" applyAlignment="1" applyProtection="1">
      <alignment horizontal="center" vertical="center"/>
      <protection locked="0"/>
    </xf>
    <xf numFmtId="171" fontId="6" fillId="0" borderId="9" xfId="5" applyNumberFormat="1" applyFont="1" applyBorder="1" applyAlignment="1" applyProtection="1">
      <alignment horizontal="center" vertical="center"/>
      <protection locked="0"/>
    </xf>
    <xf numFmtId="178" fontId="6" fillId="14" borderId="11" xfId="5" applyNumberFormat="1" applyFont="1" applyFill="1" applyBorder="1" applyAlignment="1">
      <alignment horizontal="center" vertical="center"/>
    </xf>
    <xf numFmtId="178" fontId="6" fillId="14" borderId="12" xfId="5" applyNumberFormat="1" applyFont="1" applyFill="1" applyBorder="1" applyAlignment="1">
      <alignment horizontal="center" vertical="center"/>
    </xf>
    <xf numFmtId="178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1" fontId="6" fillId="2" borderId="11" xfId="0" applyNumberFormat="1" applyFont="1" applyFill="1" applyBorder="1" applyAlignment="1" applyProtection="1">
      <alignment horizontal="right" vertical="center"/>
      <protection locked="0"/>
    </xf>
    <xf numFmtId="171" fontId="6" fillId="2" borderId="12" xfId="0" applyNumberFormat="1" applyFont="1" applyFill="1" applyBorder="1" applyAlignment="1" applyProtection="1">
      <alignment horizontal="right" vertical="center"/>
      <protection locked="0"/>
    </xf>
    <xf numFmtId="178" fontId="26" fillId="14" borderId="2" xfId="0" applyFont="1" applyFill="1" applyBorder="1" applyAlignment="1" applyProtection="1">
      <alignment horizontal="center" vertical="center" wrapText="1"/>
      <protection locked="0"/>
    </xf>
    <xf numFmtId="178" fontId="26" fillId="14" borderId="3" xfId="0" applyFont="1" applyFill="1" applyBorder="1" applyAlignment="1" applyProtection="1">
      <alignment horizontal="center" vertical="center" wrapText="1"/>
      <protection locked="0"/>
    </xf>
    <xf numFmtId="178" fontId="26" fillId="14" borderId="4" xfId="0" applyFont="1" applyFill="1" applyBorder="1" applyAlignment="1" applyProtection="1">
      <alignment horizontal="center" vertical="center" wrapText="1"/>
      <protection locked="0"/>
    </xf>
    <xf numFmtId="178" fontId="26" fillId="14" borderId="8" xfId="0" applyFont="1" applyFill="1" applyBorder="1" applyAlignment="1" applyProtection="1">
      <alignment horizontal="center" vertical="center" wrapText="1"/>
      <protection locked="0"/>
    </xf>
    <xf numFmtId="178" fontId="26" fillId="14" borderId="14" xfId="0" applyFont="1" applyFill="1" applyBorder="1" applyAlignment="1" applyProtection="1">
      <alignment horizontal="center" vertical="center" wrapText="1"/>
      <protection locked="0"/>
    </xf>
    <xf numFmtId="178" fontId="26" fillId="14" borderId="9" xfId="0" applyFont="1" applyFill="1" applyBorder="1" applyAlignment="1" applyProtection="1">
      <alignment horizontal="center" vertical="center" wrapText="1"/>
      <protection locked="0"/>
    </xf>
    <xf numFmtId="178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8" fontId="6" fillId="0" borderId="2" xfId="5" applyNumberFormat="1" applyFont="1" applyBorder="1" applyAlignment="1" applyProtection="1">
      <alignment horizontal="center" vertical="center" wrapText="1"/>
      <protection locked="0"/>
    </xf>
    <xf numFmtId="178" fontId="6" fillId="0" borderId="3" xfId="5" applyNumberFormat="1" applyFont="1" applyBorder="1" applyAlignment="1" applyProtection="1">
      <alignment horizontal="center" vertical="center"/>
      <protection locked="0"/>
    </xf>
    <xf numFmtId="178" fontId="6" fillId="0" borderId="4" xfId="5" applyNumberFormat="1" applyFont="1" applyBorder="1" applyAlignment="1" applyProtection="1">
      <alignment horizontal="center" vertical="center"/>
      <protection locked="0"/>
    </xf>
    <xf numFmtId="178" fontId="6" fillId="0" borderId="2" xfId="5" applyNumberFormat="1" applyFont="1" applyBorder="1" applyAlignment="1" applyProtection="1">
      <alignment horizontal="center" vertical="center"/>
      <protection locked="0"/>
    </xf>
    <xf numFmtId="178" fontId="6" fillId="0" borderId="3" xfId="5" applyNumberFormat="1" applyFont="1" applyBorder="1" applyAlignment="1" applyProtection="1">
      <alignment horizontal="center" vertical="center" wrapText="1"/>
      <protection locked="0"/>
    </xf>
    <xf numFmtId="178" fontId="6" fillId="0" borderId="4" xfId="5" applyNumberFormat="1" applyFont="1" applyBorder="1" applyAlignment="1" applyProtection="1">
      <alignment horizontal="center" vertical="center" wrapText="1"/>
      <protection locked="0"/>
    </xf>
    <xf numFmtId="178" fontId="6" fillId="0" borderId="8" xfId="5" applyNumberFormat="1" applyFont="1" applyBorder="1" applyAlignment="1" applyProtection="1">
      <alignment horizontal="center" vertical="center" wrapText="1"/>
      <protection locked="0"/>
    </xf>
    <xf numFmtId="178" fontId="6" fillId="0" borderId="14" xfId="5" applyNumberFormat="1" applyFont="1" applyBorder="1" applyAlignment="1" applyProtection="1">
      <alignment horizontal="center" vertical="center" wrapText="1"/>
      <protection locked="0"/>
    </xf>
    <xf numFmtId="178" fontId="6" fillId="0" borderId="9" xfId="5" applyNumberFormat="1" applyFont="1" applyBorder="1" applyAlignment="1" applyProtection="1">
      <alignment horizontal="center" vertical="center" wrapText="1"/>
      <protection locked="0"/>
    </xf>
    <xf numFmtId="171" fontId="6" fillId="0" borderId="2" xfId="5" applyNumberFormat="1" applyFont="1" applyBorder="1" applyAlignment="1" applyProtection="1">
      <alignment horizontal="center" vertical="center"/>
      <protection locked="0"/>
    </xf>
    <xf numFmtId="171" fontId="6" fillId="0" borderId="3" xfId="5" applyNumberFormat="1" applyFont="1" applyBorder="1" applyAlignment="1" applyProtection="1">
      <alignment horizontal="center" vertical="center"/>
      <protection locked="0"/>
    </xf>
    <xf numFmtId="171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8" fontId="6" fillId="0" borderId="14" xfId="5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left" vertical="center" shrinkToFit="1"/>
    </xf>
    <xf numFmtId="178" fontId="6" fillId="0" borderId="0" xfId="13" quotePrefix="1" applyNumberFormat="1" applyFont="1" applyBorder="1" applyAlignment="1">
      <alignment horizontal="center" vertical="center"/>
    </xf>
    <xf numFmtId="178" fontId="39" fillId="0" borderId="0" xfId="5" applyNumberFormat="1" applyFont="1" applyBorder="1" applyAlignment="1" applyProtection="1">
      <alignment horizontal="center" vertical="center"/>
      <protection locked="0"/>
    </xf>
    <xf numFmtId="178" fontId="26" fillId="14" borderId="8" xfId="0" applyFont="1" applyFill="1" applyBorder="1" applyAlignment="1" applyProtection="1">
      <alignment horizontal="center" vertical="center"/>
      <protection locked="0"/>
    </xf>
    <xf numFmtId="178" fontId="26" fillId="14" borderId="14" xfId="0" applyFont="1" applyFill="1" applyBorder="1" applyAlignment="1" applyProtection="1">
      <alignment horizontal="center" vertical="center"/>
      <protection locked="0"/>
    </xf>
    <xf numFmtId="178" fontId="26" fillId="14" borderId="9" xfId="0" applyFont="1" applyFill="1" applyBorder="1" applyAlignment="1" applyProtection="1">
      <alignment horizontal="center" vertical="center"/>
      <protection locked="0"/>
    </xf>
    <xf numFmtId="178" fontId="26" fillId="14" borderId="2" xfId="0" applyFont="1" applyFill="1" applyBorder="1" applyAlignment="1" applyProtection="1">
      <alignment horizontal="center" vertical="center"/>
      <protection locked="0"/>
    </xf>
    <xf numFmtId="178" fontId="26" fillId="14" borderId="3" xfId="0" applyFont="1" applyFill="1" applyBorder="1" applyAlignment="1" applyProtection="1">
      <alignment horizontal="center" vertical="center"/>
      <protection locked="0"/>
    </xf>
    <xf numFmtId="178" fontId="26" fillId="14" borderId="4" xfId="0" applyFont="1" applyFill="1" applyBorder="1" applyAlignment="1" applyProtection="1">
      <alignment horizontal="center" vertical="center"/>
      <protection locked="0"/>
    </xf>
    <xf numFmtId="178" fontId="26" fillId="14" borderId="6" xfId="0" applyFont="1" applyFill="1" applyBorder="1" applyAlignment="1" applyProtection="1">
      <alignment horizontal="center" vertical="center"/>
      <protection locked="0"/>
    </xf>
    <xf numFmtId="178" fontId="26" fillId="14" borderId="0" xfId="0" applyFont="1" applyFill="1" applyBorder="1" applyAlignment="1" applyProtection="1">
      <alignment horizontal="center" vertical="center"/>
      <protection locked="0"/>
    </xf>
    <xf numFmtId="178" fontId="26" fillId="14" borderId="7" xfId="0" applyFont="1" applyFill="1" applyBorder="1" applyAlignment="1" applyProtection="1">
      <alignment horizontal="center" vertical="center"/>
      <protection locked="0"/>
    </xf>
    <xf numFmtId="171" fontId="6" fillId="2" borderId="6" xfId="0" applyNumberFormat="1" applyFont="1" applyFill="1" applyBorder="1" applyAlignment="1" applyProtection="1">
      <alignment horizontal="right" vertical="center"/>
      <protection locked="0"/>
    </xf>
    <xf numFmtId="171" fontId="6" fillId="2" borderId="0" xfId="0" applyNumberFormat="1" applyFont="1" applyFill="1" applyBorder="1" applyAlignment="1" applyProtection="1">
      <alignment horizontal="right" vertical="center"/>
      <protection locked="0"/>
    </xf>
    <xf numFmtId="173" fontId="46" fillId="2" borderId="4" xfId="0" applyNumberFormat="1" applyFont="1" applyFill="1" applyBorder="1" applyAlignment="1" applyProtection="1">
      <alignment horizontal="left" vertical="center"/>
      <protection locked="0"/>
    </xf>
    <xf numFmtId="173" fontId="46" fillId="2" borderId="9" xfId="0" applyNumberFormat="1" applyFont="1" applyFill="1" applyBorder="1" applyAlignment="1" applyProtection="1">
      <alignment horizontal="left" vertical="center"/>
      <protection locked="0"/>
    </xf>
    <xf numFmtId="178" fontId="30" fillId="2" borderId="0" xfId="0" applyFont="1" applyFill="1" applyAlignment="1">
      <alignment horizontal="center" vertical="center"/>
    </xf>
    <xf numFmtId="178" fontId="1" fillId="3" borderId="1" xfId="2" applyFont="1" applyFill="1" applyBorder="1" applyAlignment="1">
      <alignment horizontal="center" vertical="center"/>
    </xf>
    <xf numFmtId="178" fontId="1" fillId="3" borderId="17" xfId="2" applyFont="1" applyFill="1" applyBorder="1" applyAlignment="1">
      <alignment horizontal="center" vertical="center"/>
    </xf>
    <xf numFmtId="178" fontId="1" fillId="4" borderId="2" xfId="2" applyFont="1" applyFill="1" applyBorder="1" applyAlignment="1">
      <alignment horizontal="center" vertical="center"/>
    </xf>
    <xf numFmtId="178" fontId="1" fillId="4" borderId="3" xfId="2" applyFont="1" applyFill="1" applyBorder="1" applyAlignment="1">
      <alignment horizontal="center" vertical="center"/>
    </xf>
    <xf numFmtId="178" fontId="1" fillId="4" borderId="4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178" fontId="1" fillId="5" borderId="11" xfId="2" applyFont="1" applyFill="1" applyBorder="1" applyAlignment="1">
      <alignment horizontal="center" vertical="center"/>
    </xf>
    <xf numFmtId="178" fontId="1" fillId="5" borderId="12" xfId="2" applyFont="1" applyFill="1" applyBorder="1" applyAlignment="1">
      <alignment horizontal="center" vertical="center"/>
    </xf>
    <xf numFmtId="178" fontId="1" fillId="5" borderId="13" xfId="2" applyFont="1" applyFill="1" applyBorder="1" applyAlignment="1">
      <alignment horizontal="center" vertical="center"/>
    </xf>
    <xf numFmtId="178" fontId="1" fillId="17" borderId="1" xfId="2" applyFont="1" applyFill="1" applyBorder="1" applyAlignment="1">
      <alignment horizontal="center" vertical="center"/>
    </xf>
    <xf numFmtId="178" fontId="1" fillId="17" borderId="17" xfId="2" applyFont="1" applyFill="1" applyBorder="1" applyAlignment="1">
      <alignment horizontal="center" vertical="center"/>
    </xf>
    <xf numFmtId="178" fontId="1" fillId="4" borderId="6" xfId="2" applyFont="1" applyFill="1" applyBorder="1" applyAlignment="1">
      <alignment horizontal="center" vertical="center"/>
    </xf>
    <xf numFmtId="178" fontId="1" fillId="4" borderId="0" xfId="2" applyFont="1" applyFill="1" applyBorder="1" applyAlignment="1">
      <alignment horizontal="center" vertical="center"/>
    </xf>
    <xf numFmtId="178" fontId="1" fillId="4" borderId="7" xfId="2" applyFont="1" applyFill="1" applyBorder="1" applyAlignment="1">
      <alignment horizontal="center" vertical="center"/>
    </xf>
    <xf numFmtId="178" fontId="1" fillId="4" borderId="8" xfId="2" applyFont="1" applyFill="1" applyBorder="1" applyAlignment="1">
      <alignment horizontal="center" vertical="center"/>
    </xf>
    <xf numFmtId="178" fontId="1" fillId="4" borderId="14" xfId="2" applyFont="1" applyFill="1" applyBorder="1" applyAlignment="1">
      <alignment horizontal="center" vertical="center"/>
    </xf>
    <xf numFmtId="178" fontId="1" fillId="4" borderId="9" xfId="2" applyFont="1" applyFill="1" applyBorder="1" applyAlignment="1">
      <alignment horizontal="center" vertical="center"/>
    </xf>
    <xf numFmtId="178" fontId="1" fillId="17" borderId="5" xfId="2" applyFont="1" applyFill="1" applyBorder="1" applyAlignment="1">
      <alignment horizontal="center" vertical="center"/>
    </xf>
    <xf numFmtId="178" fontId="73" fillId="0" borderId="11" xfId="0" applyFont="1" applyBorder="1" applyAlignment="1">
      <alignment horizontal="center" vertical="center"/>
    </xf>
    <xf numFmtId="178" fontId="73" fillId="0" borderId="13" xfId="0" applyFont="1" applyBorder="1" applyAlignment="1">
      <alignment horizontal="center" vertical="center"/>
    </xf>
    <xf numFmtId="178" fontId="71" fillId="0" borderId="2" xfId="0" applyFont="1" applyBorder="1" applyAlignment="1">
      <alignment horizontal="center" vertical="center"/>
    </xf>
    <xf numFmtId="178" fontId="71" fillId="0" borderId="4" xfId="0" applyFont="1" applyBorder="1" applyAlignment="1">
      <alignment horizontal="center" vertical="center"/>
    </xf>
    <xf numFmtId="178" fontId="71" fillId="0" borderId="1" xfId="0" applyFont="1" applyBorder="1" applyAlignment="1">
      <alignment horizontal="center" vertical="center"/>
    </xf>
    <xf numFmtId="178" fontId="71" fillId="0" borderId="5" xfId="0" applyFont="1" applyBorder="1" applyAlignment="1">
      <alignment horizontal="center" vertical="center"/>
    </xf>
    <xf numFmtId="178" fontId="74" fillId="0" borderId="1" xfId="0" applyFont="1" applyBorder="1" applyAlignment="1">
      <alignment horizontal="center" vertical="center"/>
    </xf>
    <xf numFmtId="178" fontId="74" fillId="0" borderId="5" xfId="0" applyFont="1" applyBorder="1" applyAlignment="1">
      <alignment horizontal="center" vertical="center"/>
    </xf>
    <xf numFmtId="178" fontId="71" fillId="0" borderId="8" xfId="0" applyFont="1" applyBorder="1" applyAlignment="1">
      <alignment horizontal="center" vertical="center"/>
    </xf>
    <xf numFmtId="178" fontId="71" fillId="0" borderId="9" xfId="0" applyFont="1" applyBorder="1" applyAlignment="1">
      <alignment horizontal="center" vertical="center"/>
    </xf>
    <xf numFmtId="178" fontId="71" fillId="2" borderId="14" xfId="0" applyFont="1" applyFill="1" applyBorder="1" applyAlignment="1">
      <alignment horizontal="right" vertical="center"/>
    </xf>
    <xf numFmtId="178" fontId="71" fillId="0" borderId="11" xfId="0" applyFont="1" applyBorder="1" applyAlignment="1">
      <alignment horizontal="center" vertical="center"/>
    </xf>
    <xf numFmtId="178" fontId="71" fillId="0" borderId="13" xfId="0" applyFont="1" applyBorder="1" applyAlignment="1">
      <alignment horizontal="center" vertical="center"/>
    </xf>
    <xf numFmtId="178" fontId="73" fillId="0" borderId="2" xfId="0" applyFont="1" applyBorder="1" applyAlignment="1">
      <alignment horizontal="center" vertical="center" wrapText="1"/>
    </xf>
    <xf numFmtId="178" fontId="73" fillId="0" borderId="4" xfId="0" applyFont="1" applyBorder="1" applyAlignment="1">
      <alignment horizontal="center" vertical="center" wrapText="1"/>
    </xf>
    <xf numFmtId="178" fontId="73" fillId="0" borderId="8" xfId="0" applyFont="1" applyBorder="1" applyAlignment="1">
      <alignment horizontal="center" vertical="center" wrapText="1"/>
    </xf>
    <xf numFmtId="178" fontId="73" fillId="0" borderId="9" xfId="0" applyFont="1" applyBorder="1" applyAlignment="1">
      <alignment horizontal="center" vertical="center" wrapText="1"/>
    </xf>
    <xf numFmtId="178" fontId="70" fillId="0" borderId="0" xfId="0" applyFont="1" applyAlignment="1">
      <alignment horizontal="center" vertical="center"/>
    </xf>
    <xf numFmtId="178" fontId="4" fillId="9" borderId="11" xfId="2" applyFont="1" applyFill="1" applyBorder="1" applyAlignment="1">
      <alignment horizontal="center" vertical="center"/>
    </xf>
    <xf numFmtId="178" fontId="4" fillId="9" borderId="12" xfId="2" applyFont="1" applyFill="1" applyBorder="1" applyAlignment="1">
      <alignment horizontal="center" vertical="center"/>
    </xf>
    <xf numFmtId="178" fontId="4" fillId="9" borderId="13" xfId="2" applyFont="1" applyFill="1" applyBorder="1" applyAlignment="1">
      <alignment horizontal="center" vertical="center"/>
    </xf>
    <xf numFmtId="178" fontId="13" fillId="9" borderId="11" xfId="1" applyNumberFormat="1" applyFont="1" applyFill="1" applyBorder="1" applyAlignment="1" applyProtection="1">
      <alignment horizontal="center" vertical="center"/>
      <protection locked="0"/>
    </xf>
    <xf numFmtId="178" fontId="13" fillId="9" borderId="12" xfId="1" applyNumberFormat="1" applyFont="1" applyFill="1" applyBorder="1" applyAlignment="1" applyProtection="1">
      <alignment horizontal="center" vertical="center"/>
      <protection locked="0"/>
    </xf>
    <xf numFmtId="178" fontId="13" fillId="9" borderId="13" xfId="1" applyNumberFormat="1" applyFont="1" applyFill="1" applyBorder="1" applyAlignment="1" applyProtection="1">
      <alignment horizontal="center" vertical="center"/>
      <protection locked="0"/>
    </xf>
    <xf numFmtId="178" fontId="11" fillId="8" borderId="11" xfId="2" applyFont="1" applyFill="1" applyBorder="1" applyAlignment="1">
      <alignment horizontal="center" vertical="center"/>
    </xf>
    <xf numFmtId="178" fontId="11" fillId="8" borderId="12" xfId="2" applyFont="1" applyFill="1" applyBorder="1" applyAlignment="1">
      <alignment horizontal="center" vertical="center"/>
    </xf>
    <xf numFmtId="178" fontId="11" fillId="8" borderId="13" xfId="2" applyFont="1" applyFill="1" applyBorder="1" applyAlignment="1">
      <alignment horizontal="center" vertical="center"/>
    </xf>
    <xf numFmtId="178" fontId="10" fillId="6" borderId="11" xfId="2" applyFont="1" applyFill="1" applyBorder="1" applyAlignment="1">
      <alignment horizontal="center" vertical="center"/>
    </xf>
    <xf numFmtId="178" fontId="10" fillId="6" borderId="12" xfId="2" applyFont="1" applyFill="1" applyBorder="1" applyAlignment="1">
      <alignment horizontal="center" vertical="center"/>
    </xf>
    <xf numFmtId="178" fontId="10" fillId="6" borderId="13" xfId="2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41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view="pageBreakPreview" topLeftCell="A26" zoomScaleNormal="100" zoomScaleSheetLayoutView="100" workbookViewId="0">
      <selection activeCell="AP33" sqref="AP33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2.5" customHeight="1">
      <c r="A1" s="418" t="s">
        <v>34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275" t="s">
        <v>35</v>
      </c>
      <c r="M1" s="275"/>
      <c r="N1" s="275"/>
      <c r="O1" s="275"/>
      <c r="P1" s="276"/>
      <c r="Q1" s="415" t="s">
        <v>177</v>
      </c>
      <c r="R1" s="415"/>
      <c r="S1" s="415"/>
      <c r="T1" s="415"/>
      <c r="U1" s="415"/>
      <c r="V1" s="415"/>
      <c r="W1" s="275"/>
      <c r="X1" s="277" t="s">
        <v>128</v>
      </c>
      <c r="Y1" s="275"/>
      <c r="Z1" s="412">
        <v>1</v>
      </c>
      <c r="AA1" s="412"/>
      <c r="AB1" s="277" t="s">
        <v>129</v>
      </c>
      <c r="AC1" s="412">
        <v>1</v>
      </c>
      <c r="AD1" s="412"/>
      <c r="AE1" s="42"/>
    </row>
    <row r="2" spans="1:37" ht="22.5" customHeight="1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277" t="s">
        <v>36</v>
      </c>
      <c r="M2" s="275"/>
      <c r="N2" s="277"/>
      <c r="O2" s="275"/>
      <c r="P2" s="278"/>
      <c r="Q2" s="413">
        <v>42459</v>
      </c>
      <c r="R2" s="413"/>
      <c r="S2" s="413"/>
      <c r="T2" s="413"/>
      <c r="U2" s="277" t="s">
        <v>37</v>
      </c>
      <c r="V2" s="275"/>
      <c r="W2" s="279"/>
      <c r="X2" s="279"/>
      <c r="Y2" s="279"/>
      <c r="Z2" s="413">
        <v>42459</v>
      </c>
      <c r="AA2" s="413"/>
      <c r="AB2" s="413"/>
      <c r="AC2" s="413"/>
      <c r="AD2" s="413"/>
      <c r="AE2" s="42"/>
    </row>
    <row r="3" spans="1:37" ht="22.5" customHeight="1">
      <c r="A3" s="419" t="s">
        <v>62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275" t="s">
        <v>39</v>
      </c>
      <c r="M3" s="275"/>
      <c r="N3" s="275"/>
      <c r="O3" s="275"/>
      <c r="P3" s="275"/>
      <c r="Q3" s="278"/>
      <c r="R3" s="421">
        <v>23</v>
      </c>
      <c r="S3" s="421"/>
      <c r="T3" s="280" t="s">
        <v>63</v>
      </c>
      <c r="U3" s="414">
        <v>50</v>
      </c>
      <c r="V3" s="414"/>
      <c r="W3" s="281" t="s">
        <v>40</v>
      </c>
      <c r="X3" s="275"/>
      <c r="Y3" s="275"/>
      <c r="Z3" s="275"/>
      <c r="AA3" s="275"/>
      <c r="AB3" s="275"/>
      <c r="AC3" s="275"/>
      <c r="AD3" s="275"/>
      <c r="AE3" s="43"/>
    </row>
    <row r="4" spans="1:37" ht="22.5" customHeight="1">
      <c r="A4" s="420" t="s">
        <v>117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275" t="s">
        <v>64</v>
      </c>
      <c r="M4" s="275"/>
      <c r="N4" s="275"/>
      <c r="O4" s="275"/>
      <c r="P4" s="282"/>
      <c r="Q4" s="275" t="s">
        <v>65</v>
      </c>
      <c r="R4" s="275"/>
      <c r="S4" s="275"/>
      <c r="T4" s="275"/>
      <c r="U4" s="275"/>
      <c r="V4" s="275"/>
      <c r="W4" s="275"/>
      <c r="X4" s="282"/>
      <c r="Y4" s="275" t="s">
        <v>66</v>
      </c>
      <c r="Z4" s="275"/>
      <c r="AA4" s="275"/>
      <c r="AB4" s="275"/>
      <c r="AC4" s="275"/>
      <c r="AD4" s="275"/>
      <c r="AE4" s="43"/>
    </row>
    <row r="5" spans="1:37" s="26" customFormat="1" ht="22.5" customHeight="1">
      <c r="A5" s="283" t="s">
        <v>41</v>
      </c>
      <c r="B5" s="284"/>
      <c r="C5" s="284"/>
      <c r="D5" s="284"/>
      <c r="E5" s="284"/>
      <c r="F5" s="285"/>
      <c r="G5" s="416" t="s">
        <v>174</v>
      </c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287"/>
      <c r="AG5" s="44"/>
      <c r="AH5" s="44"/>
      <c r="AI5" s="35"/>
      <c r="AJ5" s="45"/>
      <c r="AK5" s="46"/>
    </row>
    <row r="6" spans="1:37" s="26" customFormat="1" ht="22.5" customHeight="1">
      <c r="A6" s="283" t="s">
        <v>187</v>
      </c>
      <c r="B6" s="284"/>
      <c r="C6" s="284"/>
      <c r="D6" s="284"/>
      <c r="E6" s="284" t="s">
        <v>75</v>
      </c>
      <c r="F6" s="285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287"/>
      <c r="AG6" s="44"/>
      <c r="AH6" s="44"/>
      <c r="AI6" s="35"/>
      <c r="AJ6" s="45"/>
      <c r="AK6" s="46"/>
    </row>
    <row r="7" spans="1:37" s="26" customFormat="1" ht="22.5" customHeight="1">
      <c r="A7" s="283" t="s">
        <v>67</v>
      </c>
      <c r="B7" s="284"/>
      <c r="C7" s="284"/>
      <c r="D7" s="284"/>
      <c r="E7" s="284"/>
      <c r="F7" s="288"/>
      <c r="G7" s="416" t="s">
        <v>42</v>
      </c>
      <c r="H7" s="416"/>
      <c r="I7" s="416"/>
      <c r="J7" s="416"/>
      <c r="K7" s="416"/>
      <c r="L7" s="416"/>
      <c r="M7" s="416"/>
      <c r="N7" s="416"/>
      <c r="O7" s="416"/>
      <c r="P7" s="283" t="s">
        <v>43</v>
      </c>
      <c r="Q7" s="284"/>
      <c r="R7" s="288"/>
      <c r="S7" s="288"/>
      <c r="T7" s="288"/>
      <c r="U7" s="416" t="s">
        <v>175</v>
      </c>
      <c r="V7" s="416"/>
      <c r="W7" s="416"/>
      <c r="X7" s="416"/>
      <c r="Y7" s="416"/>
      <c r="Z7" s="416"/>
      <c r="AA7" s="416"/>
      <c r="AB7" s="416"/>
      <c r="AC7" s="416"/>
      <c r="AD7" s="287"/>
    </row>
    <row r="8" spans="1:37" s="26" customFormat="1" ht="22.5" customHeight="1">
      <c r="A8" s="283" t="s">
        <v>44</v>
      </c>
      <c r="B8" s="288"/>
      <c r="C8" s="288"/>
      <c r="D8" s="417" t="s">
        <v>176</v>
      </c>
      <c r="E8" s="417"/>
      <c r="F8" s="417"/>
      <c r="G8" s="417"/>
      <c r="H8" s="417"/>
      <c r="I8" s="417"/>
      <c r="J8" s="417"/>
      <c r="K8" s="417"/>
      <c r="L8" s="393" t="s">
        <v>45</v>
      </c>
      <c r="M8" s="393"/>
      <c r="N8" s="393"/>
      <c r="O8" s="289"/>
      <c r="P8" s="417">
        <v>1234567</v>
      </c>
      <c r="Q8" s="417"/>
      <c r="R8" s="417"/>
      <c r="S8" s="417"/>
      <c r="T8" s="417"/>
      <c r="U8" s="417"/>
      <c r="V8" s="417"/>
      <c r="W8" s="409" t="s">
        <v>46</v>
      </c>
      <c r="X8" s="409"/>
      <c r="Y8" s="410" t="s">
        <v>85</v>
      </c>
      <c r="Z8" s="410"/>
      <c r="AA8" s="410"/>
      <c r="AB8" s="410"/>
      <c r="AC8" s="410"/>
      <c r="AD8" s="287"/>
      <c r="AE8" s="28"/>
    </row>
    <row r="9" spans="1:37" s="26" customFormat="1" ht="22.5" customHeight="1">
      <c r="A9" s="290" t="s">
        <v>48</v>
      </c>
      <c r="B9" s="287"/>
      <c r="C9" s="284"/>
      <c r="D9" s="395">
        <v>0</v>
      </c>
      <c r="E9" s="395"/>
      <c r="F9" s="291" t="s">
        <v>38</v>
      </c>
      <c r="G9" s="395">
        <v>1500</v>
      </c>
      <c r="H9" s="395"/>
      <c r="I9" s="411" t="s">
        <v>23</v>
      </c>
      <c r="J9" s="411"/>
      <c r="K9" s="288"/>
      <c r="L9" s="288"/>
      <c r="M9" s="288"/>
      <c r="N9" s="292" t="s">
        <v>49</v>
      </c>
      <c r="O9" s="395">
        <v>1E-3</v>
      </c>
      <c r="P9" s="396"/>
      <c r="Q9" s="396"/>
      <c r="R9" s="396"/>
      <c r="S9" s="293" t="str">
        <f>I9</f>
        <v>g</v>
      </c>
      <c r="T9" s="285"/>
      <c r="U9" s="285"/>
      <c r="V9" s="285"/>
      <c r="W9" s="294"/>
      <c r="X9" s="401"/>
      <c r="Y9" s="401"/>
      <c r="Z9" s="401"/>
      <c r="AA9" s="401"/>
      <c r="AB9" s="287"/>
      <c r="AC9" s="287"/>
      <c r="AD9" s="287"/>
    </row>
    <row r="10" spans="1:37" s="26" customFormat="1" ht="22.5" customHeight="1">
      <c r="A10" s="295" t="s">
        <v>68</v>
      </c>
      <c r="B10" s="295"/>
      <c r="C10" s="295"/>
      <c r="D10" s="295"/>
      <c r="E10" s="295"/>
      <c r="F10" s="290"/>
      <c r="G10" s="296"/>
      <c r="H10" s="290" t="s">
        <v>69</v>
      </c>
      <c r="I10" s="288"/>
      <c r="J10" s="297"/>
      <c r="K10" s="298"/>
      <c r="L10" s="290" t="s">
        <v>70</v>
      </c>
      <c r="M10" s="288"/>
      <c r="N10" s="290"/>
      <c r="O10" s="299"/>
      <c r="P10" s="300"/>
      <c r="Q10" s="301"/>
      <c r="R10" s="302"/>
      <c r="S10" s="303"/>
      <c r="T10" s="286"/>
      <c r="U10" s="286"/>
      <c r="V10" s="286"/>
      <c r="W10" s="304"/>
      <c r="X10" s="304"/>
      <c r="Y10" s="304"/>
      <c r="Z10" s="304"/>
      <c r="AA10" s="304"/>
      <c r="AB10" s="304"/>
      <c r="AC10" s="304"/>
      <c r="AD10" s="287"/>
      <c r="AE10" s="28"/>
    </row>
    <row r="11" spans="1:37" s="26" customFormat="1" ht="22.5" customHeight="1">
      <c r="A11" s="290" t="s">
        <v>185</v>
      </c>
      <c r="B11" s="290"/>
      <c r="C11" s="290"/>
      <c r="D11" s="290"/>
      <c r="E11" s="290"/>
      <c r="F11" s="290"/>
      <c r="G11" s="305"/>
      <c r="H11" s="304" t="s">
        <v>179</v>
      </c>
      <c r="I11" s="304"/>
      <c r="J11" s="304"/>
      <c r="K11" s="304"/>
      <c r="L11" s="304"/>
      <c r="M11" s="304"/>
      <c r="N11" s="304"/>
      <c r="O11" s="287"/>
      <c r="P11" s="287"/>
      <c r="Q11" s="283"/>
      <c r="R11" s="291" t="s">
        <v>47</v>
      </c>
      <c r="S11" s="291"/>
      <c r="T11" s="284"/>
      <c r="U11" s="394">
        <v>43061</v>
      </c>
      <c r="V11" s="394"/>
      <c r="W11" s="394"/>
      <c r="X11" s="394"/>
      <c r="Y11" s="304"/>
      <c r="Z11" s="304"/>
      <c r="AA11" s="287"/>
      <c r="AB11" s="287"/>
      <c r="AC11" s="287"/>
      <c r="AD11" s="287"/>
      <c r="AE11" s="31"/>
    </row>
    <row r="12" spans="1:37" s="26" customFormat="1" ht="22.5" customHeight="1">
      <c r="A12" s="290" t="s">
        <v>185</v>
      </c>
      <c r="B12" s="290"/>
      <c r="C12" s="290"/>
      <c r="D12" s="290"/>
      <c r="E12" s="290"/>
      <c r="F12" s="290"/>
      <c r="G12" s="305"/>
      <c r="H12" s="304"/>
      <c r="I12" s="304"/>
      <c r="J12" s="304"/>
      <c r="K12" s="304"/>
      <c r="L12" s="304"/>
      <c r="M12" s="304"/>
      <c r="N12" s="304"/>
      <c r="O12" s="287"/>
      <c r="P12" s="287"/>
      <c r="Q12" s="283"/>
      <c r="R12" s="291" t="s">
        <v>47</v>
      </c>
      <c r="S12" s="291"/>
      <c r="T12" s="284"/>
      <c r="U12" s="304"/>
      <c r="V12" s="304"/>
      <c r="W12" s="304"/>
      <c r="X12" s="304"/>
      <c r="Y12" s="304"/>
      <c r="Z12" s="304"/>
      <c r="AA12" s="287"/>
      <c r="AB12" s="287"/>
      <c r="AC12" s="287"/>
      <c r="AD12" s="287"/>
    </row>
    <row r="13" spans="1:37" s="26" customFormat="1" ht="22.5" customHeight="1">
      <c r="A13" s="324" t="s">
        <v>186</v>
      </c>
      <c r="H13" s="325" t="s">
        <v>140</v>
      </c>
      <c r="I13" s="48"/>
      <c r="J13" s="48"/>
      <c r="K13" s="48"/>
      <c r="L13" s="48"/>
      <c r="M13" s="48"/>
      <c r="N13" s="48"/>
      <c r="W13" s="29"/>
      <c r="X13" s="29"/>
      <c r="Y13" s="29"/>
      <c r="AD13" s="49"/>
    </row>
    <row r="14" spans="1:37" s="26" customFormat="1" ht="12.75" customHeight="1">
      <c r="W14" s="29"/>
      <c r="X14" s="29"/>
      <c r="Y14" s="29"/>
      <c r="AD14" s="49"/>
    </row>
    <row r="15" spans="1:37" s="26" customFormat="1" ht="18" customHeight="1">
      <c r="A15" s="50" t="s">
        <v>71</v>
      </c>
    </row>
    <row r="16" spans="1:37" s="26" customFormat="1" ht="21.75">
      <c r="A16" s="39" t="s">
        <v>115</v>
      </c>
      <c r="B16" s="30"/>
      <c r="C16" s="30"/>
      <c r="D16" s="27"/>
      <c r="E16" s="40"/>
      <c r="F16" s="40"/>
      <c r="G16" s="40"/>
      <c r="H16" s="40"/>
      <c r="I16" s="40"/>
      <c r="J16" s="40"/>
      <c r="K16" s="40"/>
      <c r="L16" s="40"/>
      <c r="M16" s="40"/>
      <c r="N16" s="39" t="s">
        <v>121</v>
      </c>
      <c r="O16" s="40"/>
      <c r="P16" s="40"/>
      <c r="Q16" s="40"/>
      <c r="R16" s="40"/>
      <c r="S16" s="40"/>
      <c r="T16" s="30"/>
      <c r="U16" s="30"/>
      <c r="V16" s="27"/>
      <c r="W16" s="400"/>
      <c r="X16" s="400"/>
      <c r="Y16" s="402"/>
      <c r="Z16" s="402"/>
      <c r="AA16" s="27"/>
    </row>
    <row r="17" spans="1:35" s="26" customFormat="1" ht="21" customHeight="1">
      <c r="A17" s="403" t="s">
        <v>11</v>
      </c>
      <c r="B17" s="404"/>
      <c r="C17" s="405"/>
      <c r="D17" s="428">
        <v>1</v>
      </c>
      <c r="E17" s="429"/>
      <c r="F17" s="429"/>
      <c r="G17" s="430"/>
      <c r="H17" s="428">
        <v>2</v>
      </c>
      <c r="I17" s="429"/>
      <c r="J17" s="429"/>
      <c r="K17" s="430"/>
      <c r="L17" s="428">
        <v>3</v>
      </c>
      <c r="M17" s="429"/>
      <c r="N17" s="429"/>
      <c r="O17" s="430"/>
      <c r="P17" s="428">
        <v>4</v>
      </c>
      <c r="Q17" s="429"/>
      <c r="R17" s="429"/>
      <c r="S17" s="430"/>
      <c r="T17" s="428">
        <v>5</v>
      </c>
      <c r="U17" s="429"/>
      <c r="V17" s="429"/>
      <c r="W17" s="430"/>
      <c r="X17" s="440" t="s">
        <v>50</v>
      </c>
      <c r="Y17" s="440"/>
      <c r="Z17" s="440"/>
      <c r="AA17" s="440"/>
    </row>
    <row r="18" spans="1:35" s="26" customFormat="1" ht="21" customHeight="1">
      <c r="A18" s="431">
        <f>rang</f>
        <v>1500</v>
      </c>
      <c r="B18" s="432"/>
      <c r="C18" s="433"/>
      <c r="D18" s="370">
        <v>1500</v>
      </c>
      <c r="E18" s="371"/>
      <c r="F18" s="371"/>
      <c r="G18" s="372"/>
      <c r="H18" s="370">
        <v>1500</v>
      </c>
      <c r="I18" s="371"/>
      <c r="J18" s="371"/>
      <c r="K18" s="372"/>
      <c r="L18" s="370">
        <v>1500</v>
      </c>
      <c r="M18" s="371"/>
      <c r="N18" s="371"/>
      <c r="O18" s="372"/>
      <c r="P18" s="370">
        <v>1500</v>
      </c>
      <c r="Q18" s="371"/>
      <c r="R18" s="371"/>
      <c r="S18" s="372"/>
      <c r="T18" s="370">
        <v>1500</v>
      </c>
      <c r="U18" s="371"/>
      <c r="V18" s="371"/>
      <c r="W18" s="372"/>
      <c r="X18" s="440"/>
      <c r="Y18" s="440"/>
      <c r="Z18" s="440"/>
      <c r="AA18" s="440"/>
    </row>
    <row r="19" spans="1:35" s="26" customFormat="1" ht="21" customHeight="1">
      <c r="A19" s="431"/>
      <c r="B19" s="432"/>
      <c r="C19" s="433"/>
      <c r="D19" s="428">
        <v>3</v>
      </c>
      <c r="E19" s="429"/>
      <c r="F19" s="429"/>
      <c r="G19" s="430"/>
      <c r="H19" s="428">
        <v>7</v>
      </c>
      <c r="I19" s="429"/>
      <c r="J19" s="429"/>
      <c r="K19" s="430"/>
      <c r="L19" s="428">
        <v>8</v>
      </c>
      <c r="M19" s="429"/>
      <c r="N19" s="429"/>
      <c r="O19" s="430"/>
      <c r="P19" s="428">
        <v>9</v>
      </c>
      <c r="Q19" s="429"/>
      <c r="R19" s="429"/>
      <c r="S19" s="430"/>
      <c r="T19" s="428">
        <v>10</v>
      </c>
      <c r="U19" s="429"/>
      <c r="V19" s="429"/>
      <c r="W19" s="430"/>
      <c r="X19" s="455">
        <f>STDEV(D18:W18,D20:W20)</f>
        <v>0</v>
      </c>
      <c r="Y19" s="455"/>
      <c r="Z19" s="455"/>
      <c r="AA19" s="455"/>
    </row>
    <row r="20" spans="1:35" s="26" customFormat="1" ht="21" customHeight="1">
      <c r="A20" s="434"/>
      <c r="B20" s="435"/>
      <c r="C20" s="436"/>
      <c r="D20" s="437">
        <v>1500</v>
      </c>
      <c r="E20" s="438"/>
      <c r="F20" s="438"/>
      <c r="G20" s="439"/>
      <c r="H20" s="437">
        <v>1500</v>
      </c>
      <c r="I20" s="438"/>
      <c r="J20" s="438"/>
      <c r="K20" s="439"/>
      <c r="L20" s="437">
        <v>1500</v>
      </c>
      <c r="M20" s="438"/>
      <c r="N20" s="438"/>
      <c r="O20" s="439"/>
      <c r="P20" s="437">
        <v>1500</v>
      </c>
      <c r="Q20" s="438"/>
      <c r="R20" s="438"/>
      <c r="S20" s="439"/>
      <c r="T20" s="437">
        <v>1500</v>
      </c>
      <c r="U20" s="438"/>
      <c r="V20" s="438"/>
      <c r="W20" s="439"/>
      <c r="X20" s="455"/>
      <c r="Y20" s="455"/>
      <c r="Z20" s="455"/>
      <c r="AA20" s="455"/>
      <c r="AF20" s="32"/>
      <c r="AG20" s="32"/>
      <c r="AH20" s="32"/>
      <c r="AI20" s="32"/>
    </row>
    <row r="21" spans="1:35" s="26" customFormat="1" ht="18" customHeight="1">
      <c r="A21" s="50"/>
    </row>
    <row r="22" spans="1:35" s="26" customFormat="1" ht="21.75" customHeight="1">
      <c r="A22" s="27" t="s">
        <v>109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122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35" s="26" customFormat="1" ht="21" customHeight="1">
      <c r="A23" s="403" t="s">
        <v>51</v>
      </c>
      <c r="B23" s="404"/>
      <c r="C23" s="405"/>
      <c r="D23" s="428" t="s">
        <v>141</v>
      </c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29"/>
      <c r="P23" s="429"/>
      <c r="Q23" s="429"/>
      <c r="R23" s="429"/>
      <c r="S23" s="429"/>
      <c r="T23" s="403" t="s">
        <v>58</v>
      </c>
      <c r="U23" s="404"/>
      <c r="V23" s="404"/>
      <c r="W23" s="405"/>
      <c r="X23" s="403" t="s">
        <v>4</v>
      </c>
      <c r="Y23" s="404"/>
      <c r="Z23" s="404"/>
      <c r="AA23" s="405"/>
      <c r="AB23" s="403" t="s">
        <v>72</v>
      </c>
      <c r="AC23" s="404"/>
      <c r="AD23" s="404"/>
      <c r="AE23" s="405"/>
    </row>
    <row r="24" spans="1:35" s="26" customFormat="1" ht="21" customHeight="1">
      <c r="A24" s="406" t="str">
        <f>I9</f>
        <v>g</v>
      </c>
      <c r="B24" s="407"/>
      <c r="C24" s="408"/>
      <c r="D24" s="403" t="s">
        <v>54</v>
      </c>
      <c r="E24" s="404"/>
      <c r="F24" s="404"/>
      <c r="G24" s="404"/>
      <c r="H24" s="403" t="s">
        <v>55</v>
      </c>
      <c r="I24" s="404"/>
      <c r="J24" s="404"/>
      <c r="K24" s="404"/>
      <c r="L24" s="403" t="s">
        <v>56</v>
      </c>
      <c r="M24" s="404"/>
      <c r="N24" s="404"/>
      <c r="O24" s="404"/>
      <c r="P24" s="403" t="s">
        <v>57</v>
      </c>
      <c r="Q24" s="404"/>
      <c r="R24" s="404"/>
      <c r="S24" s="404"/>
      <c r="T24" s="444"/>
      <c r="U24" s="445"/>
      <c r="V24" s="445"/>
      <c r="W24" s="446"/>
      <c r="X24" s="444"/>
      <c r="Y24" s="445"/>
      <c r="Z24" s="445"/>
      <c r="AA24" s="446"/>
      <c r="AB24" s="444"/>
      <c r="AC24" s="445"/>
      <c r="AD24" s="445"/>
      <c r="AE24" s="446"/>
    </row>
    <row r="25" spans="1:35" s="26" customFormat="1" ht="21" customHeight="1">
      <c r="A25" s="447">
        <f>setm10-setm10</f>
        <v>0</v>
      </c>
      <c r="B25" s="448"/>
      <c r="C25" s="449"/>
      <c r="D25" s="450">
        <v>0</v>
      </c>
      <c r="E25" s="451"/>
      <c r="F25" s="451"/>
      <c r="G25" s="451"/>
      <c r="H25" s="450">
        <v>0</v>
      </c>
      <c r="I25" s="451"/>
      <c r="J25" s="451"/>
      <c r="K25" s="451"/>
      <c r="L25" s="450">
        <v>0</v>
      </c>
      <c r="M25" s="451"/>
      <c r="N25" s="451"/>
      <c r="O25" s="451"/>
      <c r="P25" s="450">
        <v>0</v>
      </c>
      <c r="Q25" s="451"/>
      <c r="R25" s="451"/>
      <c r="S25" s="451"/>
      <c r="T25" s="452">
        <f>IF(COUNTA(D25:S25)=0,"",AVERAGE(D25:S25))</f>
        <v>0</v>
      </c>
      <c r="U25" s="453"/>
      <c r="V25" s="453"/>
      <c r="W25" s="454"/>
      <c r="X25" s="452">
        <f>IF(COUNTA(D25:S25)=0,"",_xlfn.STDEV.S(D25:S25)/SQRT(4))</f>
        <v>0</v>
      </c>
      <c r="Y25" s="453"/>
      <c r="Z25" s="453"/>
      <c r="AA25" s="454"/>
      <c r="AB25" s="452">
        <f>IF(T25="","",T25-A25)</f>
        <v>0</v>
      </c>
      <c r="AC25" s="453"/>
      <c r="AD25" s="453"/>
      <c r="AE25" s="454"/>
    </row>
    <row r="26" spans="1:35" s="26" customFormat="1" ht="21" customHeight="1">
      <c r="A26" s="381">
        <f>G9*10%</f>
        <v>150</v>
      </c>
      <c r="B26" s="382"/>
      <c r="C26" s="383"/>
      <c r="D26" s="370">
        <v>150</v>
      </c>
      <c r="E26" s="371"/>
      <c r="F26" s="371"/>
      <c r="G26" s="371"/>
      <c r="H26" s="370">
        <v>150</v>
      </c>
      <c r="I26" s="371"/>
      <c r="J26" s="371"/>
      <c r="K26" s="371"/>
      <c r="L26" s="370">
        <v>150</v>
      </c>
      <c r="M26" s="371"/>
      <c r="N26" s="371"/>
      <c r="O26" s="371"/>
      <c r="P26" s="370">
        <v>150</v>
      </c>
      <c r="Q26" s="371"/>
      <c r="R26" s="371"/>
      <c r="S26" s="371"/>
      <c r="T26" s="422">
        <f t="shared" ref="T26:T35" si="0">IF(COUNTA(D26:S26)=0,"",AVERAGE(D26:S26))</f>
        <v>150</v>
      </c>
      <c r="U26" s="423"/>
      <c r="V26" s="423"/>
      <c r="W26" s="424"/>
      <c r="X26" s="422">
        <f t="shared" ref="X26:X35" si="1">IF(COUNTA(D26:S26)=0,"",_xlfn.STDEV.S(D26:S26)/SQRT(4))</f>
        <v>0</v>
      </c>
      <c r="Y26" s="423"/>
      <c r="Z26" s="423"/>
      <c r="AA26" s="424"/>
      <c r="AB26" s="422">
        <f t="shared" ref="AB26:AB35" si="2">IF(T26="","",T26-A26)</f>
        <v>0</v>
      </c>
      <c r="AC26" s="423"/>
      <c r="AD26" s="423"/>
      <c r="AE26" s="424"/>
    </row>
    <row r="27" spans="1:35" s="26" customFormat="1" ht="21" customHeight="1">
      <c r="A27" s="381">
        <f>G9*20%</f>
        <v>300</v>
      </c>
      <c r="B27" s="382"/>
      <c r="C27" s="383"/>
      <c r="D27" s="370">
        <v>300</v>
      </c>
      <c r="E27" s="371"/>
      <c r="F27" s="371"/>
      <c r="G27" s="371"/>
      <c r="H27" s="370">
        <v>300</v>
      </c>
      <c r="I27" s="371"/>
      <c r="J27" s="371"/>
      <c r="K27" s="371"/>
      <c r="L27" s="370">
        <v>300</v>
      </c>
      <c r="M27" s="371"/>
      <c r="N27" s="371"/>
      <c r="O27" s="371"/>
      <c r="P27" s="370">
        <v>300</v>
      </c>
      <c r="Q27" s="371"/>
      <c r="R27" s="371"/>
      <c r="S27" s="371"/>
      <c r="T27" s="422">
        <f t="shared" si="0"/>
        <v>300</v>
      </c>
      <c r="U27" s="423"/>
      <c r="V27" s="423"/>
      <c r="W27" s="424"/>
      <c r="X27" s="422">
        <f t="shared" si="1"/>
        <v>0</v>
      </c>
      <c r="Y27" s="423"/>
      <c r="Z27" s="423"/>
      <c r="AA27" s="424"/>
      <c r="AB27" s="422">
        <f t="shared" si="2"/>
        <v>0</v>
      </c>
      <c r="AC27" s="423"/>
      <c r="AD27" s="423"/>
      <c r="AE27" s="424"/>
    </row>
    <row r="28" spans="1:35" s="26" customFormat="1" ht="21" customHeight="1">
      <c r="A28" s="381">
        <f>G9*30%</f>
        <v>450</v>
      </c>
      <c r="B28" s="382"/>
      <c r="C28" s="383"/>
      <c r="D28" s="370">
        <v>450</v>
      </c>
      <c r="E28" s="371"/>
      <c r="F28" s="371"/>
      <c r="G28" s="371"/>
      <c r="H28" s="370">
        <v>450</v>
      </c>
      <c r="I28" s="371"/>
      <c r="J28" s="371"/>
      <c r="K28" s="371"/>
      <c r="L28" s="370">
        <v>450</v>
      </c>
      <c r="M28" s="371"/>
      <c r="N28" s="371"/>
      <c r="O28" s="371"/>
      <c r="P28" s="370">
        <v>450</v>
      </c>
      <c r="Q28" s="371"/>
      <c r="R28" s="371"/>
      <c r="S28" s="371"/>
      <c r="T28" s="422">
        <f t="shared" si="0"/>
        <v>450</v>
      </c>
      <c r="U28" s="423"/>
      <c r="V28" s="423"/>
      <c r="W28" s="424"/>
      <c r="X28" s="422">
        <f t="shared" si="1"/>
        <v>0</v>
      </c>
      <c r="Y28" s="423"/>
      <c r="Z28" s="423"/>
      <c r="AA28" s="424"/>
      <c r="AB28" s="422">
        <f t="shared" si="2"/>
        <v>0</v>
      </c>
      <c r="AC28" s="423"/>
      <c r="AD28" s="423"/>
      <c r="AE28" s="424"/>
    </row>
    <row r="29" spans="1:35" s="26" customFormat="1" ht="21" customHeight="1">
      <c r="A29" s="381">
        <f>G9*40%</f>
        <v>600</v>
      </c>
      <c r="B29" s="382"/>
      <c r="C29" s="383"/>
      <c r="D29" s="370">
        <v>600</v>
      </c>
      <c r="E29" s="371"/>
      <c r="F29" s="371"/>
      <c r="G29" s="371"/>
      <c r="H29" s="370">
        <v>600</v>
      </c>
      <c r="I29" s="371"/>
      <c r="J29" s="371"/>
      <c r="K29" s="371"/>
      <c r="L29" s="370">
        <v>600</v>
      </c>
      <c r="M29" s="371"/>
      <c r="N29" s="371"/>
      <c r="O29" s="371"/>
      <c r="P29" s="370">
        <v>600</v>
      </c>
      <c r="Q29" s="371"/>
      <c r="R29" s="371"/>
      <c r="S29" s="371"/>
      <c r="T29" s="422">
        <f t="shared" si="0"/>
        <v>600</v>
      </c>
      <c r="U29" s="423"/>
      <c r="V29" s="423"/>
      <c r="W29" s="424"/>
      <c r="X29" s="422">
        <f t="shared" si="1"/>
        <v>0</v>
      </c>
      <c r="Y29" s="423"/>
      <c r="Z29" s="423"/>
      <c r="AA29" s="424"/>
      <c r="AB29" s="422">
        <f t="shared" si="2"/>
        <v>0</v>
      </c>
      <c r="AC29" s="423"/>
      <c r="AD29" s="423"/>
      <c r="AE29" s="424"/>
    </row>
    <row r="30" spans="1:35" s="26" customFormat="1" ht="21" customHeight="1">
      <c r="A30" s="381">
        <f>G9*50%</f>
        <v>750</v>
      </c>
      <c r="B30" s="382"/>
      <c r="C30" s="383"/>
      <c r="D30" s="370">
        <v>750</v>
      </c>
      <c r="E30" s="371"/>
      <c r="F30" s="371"/>
      <c r="G30" s="371"/>
      <c r="H30" s="370">
        <v>750</v>
      </c>
      <c r="I30" s="371"/>
      <c r="J30" s="371"/>
      <c r="K30" s="371"/>
      <c r="L30" s="370">
        <v>750</v>
      </c>
      <c r="M30" s="371"/>
      <c r="N30" s="371"/>
      <c r="O30" s="371"/>
      <c r="P30" s="370">
        <v>750</v>
      </c>
      <c r="Q30" s="371"/>
      <c r="R30" s="371"/>
      <c r="S30" s="371"/>
      <c r="T30" s="422">
        <f t="shared" si="0"/>
        <v>750</v>
      </c>
      <c r="U30" s="423"/>
      <c r="V30" s="423"/>
      <c r="W30" s="424"/>
      <c r="X30" s="422">
        <f t="shared" si="1"/>
        <v>0</v>
      </c>
      <c r="Y30" s="423"/>
      <c r="Z30" s="423"/>
      <c r="AA30" s="424"/>
      <c r="AB30" s="422">
        <f t="shared" si="2"/>
        <v>0</v>
      </c>
      <c r="AC30" s="423"/>
      <c r="AD30" s="423"/>
      <c r="AE30" s="424"/>
    </row>
    <row r="31" spans="1:35" s="26" customFormat="1" ht="21" customHeight="1">
      <c r="A31" s="381">
        <f>G9*60%</f>
        <v>900</v>
      </c>
      <c r="B31" s="382"/>
      <c r="C31" s="383"/>
      <c r="D31" s="370">
        <v>900</v>
      </c>
      <c r="E31" s="371"/>
      <c r="F31" s="371"/>
      <c r="G31" s="371"/>
      <c r="H31" s="370">
        <v>900</v>
      </c>
      <c r="I31" s="371"/>
      <c r="J31" s="371"/>
      <c r="K31" s="371"/>
      <c r="L31" s="370">
        <v>900</v>
      </c>
      <c r="M31" s="371"/>
      <c r="N31" s="371"/>
      <c r="O31" s="371"/>
      <c r="P31" s="370">
        <v>900</v>
      </c>
      <c r="Q31" s="371"/>
      <c r="R31" s="371"/>
      <c r="S31" s="371"/>
      <c r="T31" s="422">
        <f t="shared" si="0"/>
        <v>900</v>
      </c>
      <c r="U31" s="423"/>
      <c r="V31" s="423"/>
      <c r="W31" s="424"/>
      <c r="X31" s="422">
        <f t="shared" si="1"/>
        <v>0</v>
      </c>
      <c r="Y31" s="423"/>
      <c r="Z31" s="423"/>
      <c r="AA31" s="424"/>
      <c r="AB31" s="422">
        <f t="shared" si="2"/>
        <v>0</v>
      </c>
      <c r="AC31" s="423"/>
      <c r="AD31" s="423"/>
      <c r="AE31" s="424"/>
    </row>
    <row r="32" spans="1:35" s="26" customFormat="1" ht="21" customHeight="1">
      <c r="A32" s="381">
        <f>G9*70%</f>
        <v>1050</v>
      </c>
      <c r="B32" s="382"/>
      <c r="C32" s="383"/>
      <c r="D32" s="370">
        <v>1050</v>
      </c>
      <c r="E32" s="371"/>
      <c r="F32" s="371"/>
      <c r="G32" s="371"/>
      <c r="H32" s="370">
        <v>1050</v>
      </c>
      <c r="I32" s="371"/>
      <c r="J32" s="371"/>
      <c r="K32" s="371"/>
      <c r="L32" s="370">
        <v>1050</v>
      </c>
      <c r="M32" s="371"/>
      <c r="N32" s="371"/>
      <c r="O32" s="371"/>
      <c r="P32" s="370">
        <v>1050</v>
      </c>
      <c r="Q32" s="371"/>
      <c r="R32" s="371"/>
      <c r="S32" s="371"/>
      <c r="T32" s="422">
        <f t="shared" si="0"/>
        <v>1050</v>
      </c>
      <c r="U32" s="423"/>
      <c r="V32" s="423"/>
      <c r="W32" s="424"/>
      <c r="X32" s="422">
        <f t="shared" si="1"/>
        <v>0</v>
      </c>
      <c r="Y32" s="423"/>
      <c r="Z32" s="423"/>
      <c r="AA32" s="424"/>
      <c r="AB32" s="422">
        <f t="shared" si="2"/>
        <v>0</v>
      </c>
      <c r="AC32" s="423"/>
      <c r="AD32" s="423"/>
      <c r="AE32" s="424"/>
    </row>
    <row r="33" spans="1:33" s="26" customFormat="1" ht="21" customHeight="1">
      <c r="A33" s="381">
        <f>G9*80%</f>
        <v>1200</v>
      </c>
      <c r="B33" s="382"/>
      <c r="C33" s="383"/>
      <c r="D33" s="370">
        <v>1200</v>
      </c>
      <c r="E33" s="371"/>
      <c r="F33" s="371"/>
      <c r="G33" s="371"/>
      <c r="H33" s="370">
        <v>1200</v>
      </c>
      <c r="I33" s="371"/>
      <c r="J33" s="371"/>
      <c r="K33" s="371"/>
      <c r="L33" s="370">
        <v>1200</v>
      </c>
      <c r="M33" s="371"/>
      <c r="N33" s="371"/>
      <c r="O33" s="371"/>
      <c r="P33" s="370">
        <v>1200</v>
      </c>
      <c r="Q33" s="371"/>
      <c r="R33" s="371"/>
      <c r="S33" s="371"/>
      <c r="T33" s="422">
        <f t="shared" si="0"/>
        <v>1200</v>
      </c>
      <c r="U33" s="423"/>
      <c r="V33" s="423"/>
      <c r="W33" s="424"/>
      <c r="X33" s="422">
        <f t="shared" si="1"/>
        <v>0</v>
      </c>
      <c r="Y33" s="423"/>
      <c r="Z33" s="423"/>
      <c r="AA33" s="424"/>
      <c r="AB33" s="422">
        <f t="shared" si="2"/>
        <v>0</v>
      </c>
      <c r="AC33" s="423"/>
      <c r="AD33" s="423"/>
      <c r="AE33" s="424"/>
    </row>
    <row r="34" spans="1:33" s="26" customFormat="1" ht="21" customHeight="1">
      <c r="A34" s="381">
        <f>G9*90%</f>
        <v>1350</v>
      </c>
      <c r="B34" s="382"/>
      <c r="C34" s="383"/>
      <c r="D34" s="370">
        <v>1350</v>
      </c>
      <c r="E34" s="371"/>
      <c r="F34" s="371"/>
      <c r="G34" s="371"/>
      <c r="H34" s="370">
        <v>1350</v>
      </c>
      <c r="I34" s="371"/>
      <c r="J34" s="371"/>
      <c r="K34" s="371"/>
      <c r="L34" s="370">
        <v>1350</v>
      </c>
      <c r="M34" s="371"/>
      <c r="N34" s="371"/>
      <c r="O34" s="371"/>
      <c r="P34" s="370">
        <v>1350</v>
      </c>
      <c r="Q34" s="371"/>
      <c r="R34" s="371"/>
      <c r="S34" s="371"/>
      <c r="T34" s="422">
        <f t="shared" si="0"/>
        <v>1350</v>
      </c>
      <c r="U34" s="423"/>
      <c r="V34" s="423"/>
      <c r="W34" s="424"/>
      <c r="X34" s="422">
        <f t="shared" si="1"/>
        <v>0</v>
      </c>
      <c r="Y34" s="423"/>
      <c r="Z34" s="423"/>
      <c r="AA34" s="424"/>
      <c r="AB34" s="422">
        <f t="shared" si="2"/>
        <v>0</v>
      </c>
      <c r="AC34" s="423"/>
      <c r="AD34" s="423"/>
      <c r="AE34" s="424"/>
    </row>
    <row r="35" spans="1:33" s="26" customFormat="1" ht="21" customHeight="1">
      <c r="A35" s="378">
        <f>G9*100%</f>
        <v>1500</v>
      </c>
      <c r="B35" s="379"/>
      <c r="C35" s="380"/>
      <c r="D35" s="367">
        <v>1500</v>
      </c>
      <c r="E35" s="368"/>
      <c r="F35" s="368"/>
      <c r="G35" s="368"/>
      <c r="H35" s="367">
        <v>1500</v>
      </c>
      <c r="I35" s="368"/>
      <c r="J35" s="368"/>
      <c r="K35" s="368"/>
      <c r="L35" s="367">
        <v>1500</v>
      </c>
      <c r="M35" s="368"/>
      <c r="N35" s="368"/>
      <c r="O35" s="368"/>
      <c r="P35" s="367">
        <v>1500</v>
      </c>
      <c r="Q35" s="368"/>
      <c r="R35" s="368"/>
      <c r="S35" s="368"/>
      <c r="T35" s="425">
        <f t="shared" si="0"/>
        <v>1500</v>
      </c>
      <c r="U35" s="426"/>
      <c r="V35" s="426"/>
      <c r="W35" s="427"/>
      <c r="X35" s="425">
        <f t="shared" si="1"/>
        <v>0</v>
      </c>
      <c r="Y35" s="426"/>
      <c r="Z35" s="426"/>
      <c r="AA35" s="427"/>
      <c r="AB35" s="425">
        <f t="shared" si="2"/>
        <v>0</v>
      </c>
      <c r="AC35" s="426"/>
      <c r="AD35" s="426"/>
      <c r="AE35" s="427"/>
    </row>
    <row r="36" spans="1:33" s="26" customFormat="1" ht="21.75">
      <c r="A36" s="173"/>
      <c r="B36" s="173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/>
      <c r="Q36" s="164"/>
      <c r="R36" s="167"/>
      <c r="S36" s="168"/>
      <c r="T36" s="168"/>
      <c r="U36" s="165"/>
      <c r="V36" s="166"/>
      <c r="W36" s="166"/>
      <c r="X36" s="161"/>
      <c r="Y36" s="161"/>
      <c r="Z36" s="161"/>
      <c r="AA36" s="38"/>
      <c r="AB36" s="32"/>
    </row>
    <row r="37" spans="1:33" s="26" customFormat="1" ht="21.75">
      <c r="A37" s="33" t="s">
        <v>120</v>
      </c>
      <c r="B37" s="33"/>
      <c r="C37" s="33"/>
      <c r="D37" s="33"/>
      <c r="E37" s="33"/>
      <c r="F37" s="33"/>
      <c r="G37" s="33"/>
      <c r="H37" s="48"/>
      <c r="J37" s="26" t="s">
        <v>123</v>
      </c>
      <c r="U37" s="392"/>
      <c r="V37" s="392"/>
      <c r="W37" s="38"/>
      <c r="X37" s="38"/>
      <c r="Y37" s="38"/>
      <c r="Z37" s="38"/>
      <c r="AA37" s="38"/>
      <c r="AB37" s="41" t="s">
        <v>116</v>
      </c>
    </row>
    <row r="38" spans="1:33" ht="18.75" customHeight="1">
      <c r="A38" s="384" t="s">
        <v>52</v>
      </c>
      <c r="B38" s="385"/>
      <c r="C38" s="386"/>
      <c r="D38" s="441" t="s">
        <v>53</v>
      </c>
      <c r="E38" s="442"/>
      <c r="F38" s="442"/>
      <c r="G38" s="442"/>
      <c r="H38" s="442"/>
      <c r="I38" s="442"/>
      <c r="J38" s="442"/>
      <c r="K38" s="442"/>
      <c r="L38" s="442"/>
      <c r="M38" s="442"/>
      <c r="N38" s="442"/>
      <c r="O38" s="442"/>
      <c r="P38" s="442"/>
      <c r="Q38" s="442"/>
      <c r="R38" s="442"/>
      <c r="S38" s="443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</row>
    <row r="39" spans="1:33" ht="18.75" customHeight="1">
      <c r="A39" s="389">
        <f>G9/4</f>
        <v>375</v>
      </c>
      <c r="B39" s="390"/>
      <c r="C39" s="391"/>
      <c r="D39" s="441" t="s">
        <v>54</v>
      </c>
      <c r="E39" s="442"/>
      <c r="F39" s="442"/>
      <c r="G39" s="443"/>
      <c r="H39" s="441" t="s">
        <v>55</v>
      </c>
      <c r="I39" s="442"/>
      <c r="J39" s="442"/>
      <c r="K39" s="443"/>
      <c r="L39" s="441" t="s">
        <v>56</v>
      </c>
      <c r="M39" s="442"/>
      <c r="N39" s="442"/>
      <c r="O39" s="443"/>
      <c r="P39" s="441" t="s">
        <v>57</v>
      </c>
      <c r="Q39" s="442"/>
      <c r="R39" s="442"/>
      <c r="S39" s="443"/>
      <c r="T39" s="155"/>
      <c r="U39" s="155"/>
      <c r="V39" s="156"/>
      <c r="W39" s="156"/>
      <c r="X39" s="156"/>
      <c r="Y39" s="156"/>
      <c r="Z39" s="157"/>
      <c r="AA39" s="157"/>
      <c r="AB39" s="157"/>
      <c r="AC39" s="157"/>
      <c r="AD39" s="157"/>
    </row>
    <row r="40" spans="1:33" ht="18.75" customHeight="1">
      <c r="A40" s="397" t="s">
        <v>110</v>
      </c>
      <c r="B40" s="398"/>
      <c r="C40" s="399"/>
      <c r="D40" s="370">
        <v>375</v>
      </c>
      <c r="E40" s="371"/>
      <c r="F40" s="371"/>
      <c r="G40" s="372"/>
      <c r="H40" s="370">
        <v>375</v>
      </c>
      <c r="I40" s="371"/>
      <c r="J40" s="371"/>
      <c r="K40" s="372"/>
      <c r="L40" s="370">
        <v>375</v>
      </c>
      <c r="M40" s="371"/>
      <c r="N40" s="371"/>
      <c r="O40" s="372"/>
      <c r="P40" s="370">
        <v>375</v>
      </c>
      <c r="Q40" s="371"/>
      <c r="R40" s="371"/>
      <c r="S40" s="372"/>
      <c r="T40" s="158"/>
      <c r="U40" s="158"/>
      <c r="V40" s="159"/>
      <c r="W40" s="159"/>
      <c r="X40" s="159"/>
      <c r="Y40" s="159"/>
      <c r="Z40" s="160"/>
      <c r="AA40" s="160"/>
      <c r="AB40" s="160"/>
      <c r="AC40" s="160"/>
      <c r="AD40" s="160"/>
    </row>
    <row r="41" spans="1:33" ht="18.75" customHeight="1">
      <c r="A41" s="388" t="s">
        <v>111</v>
      </c>
      <c r="B41" s="388"/>
      <c r="C41" s="388"/>
      <c r="D41" s="370">
        <v>375</v>
      </c>
      <c r="E41" s="371"/>
      <c r="F41" s="371"/>
      <c r="G41" s="372"/>
      <c r="H41" s="370">
        <v>375</v>
      </c>
      <c r="I41" s="371"/>
      <c r="J41" s="371"/>
      <c r="K41" s="372"/>
      <c r="L41" s="370">
        <v>375</v>
      </c>
      <c r="M41" s="371"/>
      <c r="N41" s="371"/>
      <c r="O41" s="372"/>
      <c r="P41" s="370">
        <v>375</v>
      </c>
      <c r="Q41" s="371"/>
      <c r="R41" s="371"/>
      <c r="S41" s="372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.75" customHeight="1">
      <c r="A42" s="388" t="s">
        <v>112</v>
      </c>
      <c r="B42" s="388"/>
      <c r="C42" s="388"/>
      <c r="D42" s="370">
        <v>375</v>
      </c>
      <c r="E42" s="371"/>
      <c r="F42" s="371"/>
      <c r="G42" s="372"/>
      <c r="H42" s="370">
        <v>375</v>
      </c>
      <c r="I42" s="371"/>
      <c r="J42" s="371"/>
      <c r="K42" s="372"/>
      <c r="L42" s="370">
        <v>375</v>
      </c>
      <c r="M42" s="371"/>
      <c r="N42" s="371"/>
      <c r="O42" s="372"/>
      <c r="P42" s="370">
        <v>375</v>
      </c>
      <c r="Q42" s="371"/>
      <c r="R42" s="371"/>
      <c r="S42" s="372"/>
      <c r="T42" s="158"/>
      <c r="U42" s="158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</row>
    <row r="43" spans="1:33" ht="18.75" customHeight="1">
      <c r="A43" s="388" t="s">
        <v>113</v>
      </c>
      <c r="B43" s="388"/>
      <c r="C43" s="388"/>
      <c r="D43" s="370">
        <v>375</v>
      </c>
      <c r="E43" s="371"/>
      <c r="F43" s="371"/>
      <c r="G43" s="372"/>
      <c r="H43" s="370">
        <v>375</v>
      </c>
      <c r="I43" s="371"/>
      <c r="J43" s="371"/>
      <c r="K43" s="372"/>
      <c r="L43" s="370">
        <v>375</v>
      </c>
      <c r="M43" s="371"/>
      <c r="N43" s="371"/>
      <c r="O43" s="372"/>
      <c r="P43" s="370">
        <v>375</v>
      </c>
      <c r="Q43" s="371"/>
      <c r="R43" s="371"/>
      <c r="S43" s="372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.75" customHeight="1">
      <c r="A44" s="387" t="s">
        <v>114</v>
      </c>
      <c r="B44" s="387"/>
      <c r="C44" s="387"/>
      <c r="D44" s="367">
        <v>375</v>
      </c>
      <c r="E44" s="368"/>
      <c r="F44" s="368"/>
      <c r="G44" s="369"/>
      <c r="H44" s="367">
        <v>375</v>
      </c>
      <c r="I44" s="368"/>
      <c r="J44" s="368"/>
      <c r="K44" s="369"/>
      <c r="L44" s="367">
        <v>375</v>
      </c>
      <c r="M44" s="368"/>
      <c r="N44" s="368"/>
      <c r="O44" s="369"/>
      <c r="P44" s="367">
        <v>375</v>
      </c>
      <c r="Q44" s="368"/>
      <c r="R44" s="368"/>
      <c r="S44" s="369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373" t="s">
        <v>59</v>
      </c>
      <c r="B45" s="374"/>
      <c r="C45" s="374"/>
      <c r="D45" s="374"/>
      <c r="E45" s="375">
        <f>MAX(D40:S44)-MIN(D40:S44)</f>
        <v>0</v>
      </c>
      <c r="F45" s="376"/>
      <c r="G45" s="377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A48" s="218" t="s">
        <v>60</v>
      </c>
      <c r="B48" s="218"/>
      <c r="C48" s="218"/>
      <c r="D48" s="218"/>
      <c r="E48" s="46"/>
      <c r="F48" s="51" t="str">
        <f>F51</f>
        <v>Mr.Nirut  Loha</v>
      </c>
      <c r="G48" s="51"/>
      <c r="H48" s="51"/>
      <c r="I48" s="51"/>
      <c r="J48" s="51"/>
      <c r="K48" s="51"/>
      <c r="L48" s="52"/>
      <c r="M48" s="5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13" ht="18.75" customHeight="1">
      <c r="A49" s="53"/>
      <c r="B49" s="53"/>
      <c r="C49" s="53"/>
      <c r="D49" s="53"/>
      <c r="E49" s="46"/>
      <c r="F49" s="54"/>
      <c r="G49" s="54"/>
      <c r="H49" s="54"/>
      <c r="I49" s="54"/>
      <c r="J49" s="54"/>
      <c r="K49" s="54"/>
      <c r="L49" s="55"/>
      <c r="M49" s="55"/>
    </row>
    <row r="51" spans="1:13" ht="18.75" customHeight="1">
      <c r="D51" s="47"/>
      <c r="E51" s="47"/>
      <c r="F51" s="35" t="s">
        <v>188</v>
      </c>
      <c r="G51" s="45"/>
      <c r="H51" s="46"/>
    </row>
    <row r="52" spans="1:13" ht="18.75" customHeight="1">
      <c r="F52" s="35" t="s">
        <v>189</v>
      </c>
    </row>
    <row r="53" spans="1:13" ht="18.75" customHeight="1">
      <c r="F53" s="35" t="s">
        <v>190</v>
      </c>
    </row>
    <row r="54" spans="1:13" ht="18.75" customHeight="1">
      <c r="F54" s="35" t="s">
        <v>191</v>
      </c>
    </row>
    <row r="55" spans="1:13" ht="18.75" customHeight="1">
      <c r="F55" s="35" t="s">
        <v>192</v>
      </c>
    </row>
  </sheetData>
  <mergeCells count="184">
    <mergeCell ref="T25:W25"/>
    <mergeCell ref="X25:AA25"/>
    <mergeCell ref="AB25:AE25"/>
    <mergeCell ref="X19:AA20"/>
    <mergeCell ref="AB23:AE24"/>
    <mergeCell ref="T23:W24"/>
    <mergeCell ref="X17:AA18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  <mergeCell ref="D23:S23"/>
    <mergeCell ref="X23:AA24"/>
    <mergeCell ref="P33:S33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X35:AA35"/>
    <mergeCell ref="T33:W33"/>
    <mergeCell ref="D17:G17"/>
    <mergeCell ref="H17:K17"/>
    <mergeCell ref="L17:O17"/>
    <mergeCell ref="P17:S17"/>
    <mergeCell ref="T17:W17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A17:C17"/>
    <mergeCell ref="T34:W34"/>
    <mergeCell ref="T35:W35"/>
    <mergeCell ref="X26:AA26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G6:AC6"/>
    <mergeCell ref="G5:AC5"/>
    <mergeCell ref="A29:C29"/>
    <mergeCell ref="A28:C28"/>
    <mergeCell ref="A27:C27"/>
    <mergeCell ref="A26:C26"/>
    <mergeCell ref="D24:G24"/>
    <mergeCell ref="H24:K24"/>
    <mergeCell ref="P24:S24"/>
    <mergeCell ref="H29:K29"/>
    <mergeCell ref="H30:K30"/>
    <mergeCell ref="L26:O26"/>
    <mergeCell ref="L27:O27"/>
    <mergeCell ref="L28:O28"/>
    <mergeCell ref="L29:O29"/>
    <mergeCell ref="L24:O24"/>
    <mergeCell ref="D26:G26"/>
    <mergeCell ref="D27:G27"/>
    <mergeCell ref="A25:C25"/>
    <mergeCell ref="D25:G25"/>
    <mergeCell ref="H25:K25"/>
    <mergeCell ref="L25:O25"/>
    <mergeCell ref="P25:S25"/>
    <mergeCell ref="A41:C41"/>
    <mergeCell ref="A40:C40"/>
    <mergeCell ref="W16:X16"/>
    <mergeCell ref="X9:AA9"/>
    <mergeCell ref="D28:G28"/>
    <mergeCell ref="D29:G29"/>
    <mergeCell ref="D30:G30"/>
    <mergeCell ref="D31:G31"/>
    <mergeCell ref="D32:G32"/>
    <mergeCell ref="H26:K26"/>
    <mergeCell ref="H27:K27"/>
    <mergeCell ref="H28:K28"/>
    <mergeCell ref="L33:O33"/>
    <mergeCell ref="L34:O34"/>
    <mergeCell ref="L35:O35"/>
    <mergeCell ref="D41:G41"/>
    <mergeCell ref="H41:K41"/>
    <mergeCell ref="L41:O41"/>
    <mergeCell ref="Y16:Z16"/>
    <mergeCell ref="A23:C23"/>
    <mergeCell ref="A24:C24"/>
    <mergeCell ref="A32:C32"/>
    <mergeCell ref="A31:C31"/>
    <mergeCell ref="A30:C30"/>
    <mergeCell ref="U37:V37"/>
    <mergeCell ref="P41:S41"/>
    <mergeCell ref="D42:G42"/>
    <mergeCell ref="H42:K42"/>
    <mergeCell ref="L42:O42"/>
    <mergeCell ref="P42:S42"/>
    <mergeCell ref="L8:N8"/>
    <mergeCell ref="L30:O30"/>
    <mergeCell ref="L31:O31"/>
    <mergeCell ref="L32:O32"/>
    <mergeCell ref="P26:S26"/>
    <mergeCell ref="P27:S27"/>
    <mergeCell ref="P28:S28"/>
    <mergeCell ref="P29:S29"/>
    <mergeCell ref="P30:S30"/>
    <mergeCell ref="P31:S31"/>
    <mergeCell ref="P32:S32"/>
    <mergeCell ref="U11:X11"/>
    <mergeCell ref="D9:E9"/>
    <mergeCell ref="G9:H9"/>
    <mergeCell ref="O9:R9"/>
    <mergeCell ref="H31:K31"/>
    <mergeCell ref="H32:K32"/>
    <mergeCell ref="W8:X8"/>
    <mergeCell ref="L44:O44"/>
    <mergeCell ref="P44:S44"/>
    <mergeCell ref="D43:G43"/>
    <mergeCell ref="H43:K43"/>
    <mergeCell ref="A45:D45"/>
    <mergeCell ref="E45:G45"/>
    <mergeCell ref="A35:C35"/>
    <mergeCell ref="A34:C34"/>
    <mergeCell ref="A33:C33"/>
    <mergeCell ref="D33:G33"/>
    <mergeCell ref="D34:G34"/>
    <mergeCell ref="D35:G35"/>
    <mergeCell ref="H33:K33"/>
    <mergeCell ref="H34:K34"/>
    <mergeCell ref="H35:K35"/>
    <mergeCell ref="A38:C38"/>
    <mergeCell ref="A44:C44"/>
    <mergeCell ref="A43:C43"/>
    <mergeCell ref="D44:G44"/>
    <mergeCell ref="H44:K44"/>
    <mergeCell ref="A39:C39"/>
    <mergeCell ref="L43:O43"/>
    <mergeCell ref="P43:S43"/>
    <mergeCell ref="A42:C42"/>
  </mergeCells>
  <pageMargins left="0.11811023622047245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41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5" zoomScaleNormal="100" zoomScaleSheetLayoutView="100" workbookViewId="0">
      <selection activeCell="V39" sqref="V39:AC39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56" t="s">
        <v>73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  <c r="AA3" s="456"/>
      <c r="AB3" s="456"/>
      <c r="AC3" s="456"/>
      <c r="AD3" s="456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458">
        <f>Data!P8</f>
        <v>1234567</v>
      </c>
      <c r="K15" s="458"/>
      <c r="L15" s="458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459">
        <f>Data!Q2</f>
        <v>42459</v>
      </c>
      <c r="AB19" s="459"/>
      <c r="AC19" s="459"/>
      <c r="AD19" s="459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459">
        <f>Data!Z2</f>
        <v>42459</v>
      </c>
      <c r="AB20" s="459"/>
      <c r="AC20" s="459"/>
      <c r="AD20" s="459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460">
        <f>AA20+365</f>
        <v>42824</v>
      </c>
      <c r="AB21" s="460"/>
      <c r="AC21" s="460"/>
      <c r="AD21" s="460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27"/>
      <c r="Y22" s="327"/>
      <c r="Z22" s="88" t="s">
        <v>75</v>
      </c>
      <c r="AA22" s="463">
        <f>AA20+1</f>
        <v>42460</v>
      </c>
      <c r="AB22" s="463"/>
      <c r="AC22" s="463"/>
      <c r="AD22" s="463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Data!F48</f>
        <v>Mr.Nirut  Loha</v>
      </c>
      <c r="I36" s="182"/>
      <c r="J36" s="209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193</v>
      </c>
      <c r="K38" s="182"/>
      <c r="L38" s="182"/>
      <c r="M38" s="182"/>
      <c r="N38" s="182"/>
      <c r="O38" s="182"/>
      <c r="P38" s="210"/>
      <c r="Q38" s="211">
        <v>3</v>
      </c>
      <c r="R38" s="182"/>
      <c r="V38" s="461" t="s">
        <v>194</v>
      </c>
      <c r="W38" s="461"/>
      <c r="X38" s="461"/>
      <c r="Y38" s="461"/>
      <c r="Z38" s="461"/>
      <c r="AA38" s="461"/>
      <c r="AB38" s="461"/>
      <c r="AC38" s="461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462" t="s">
        <v>92</v>
      </c>
      <c r="W39" s="462"/>
      <c r="X39" s="462"/>
      <c r="Y39" s="462"/>
      <c r="Z39" s="462"/>
      <c r="AA39" s="462"/>
      <c r="AB39" s="462"/>
      <c r="AC39" s="462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7"/>
      <c r="P41" s="457"/>
      <c r="Q41" s="457"/>
      <c r="R41" s="457"/>
      <c r="S41" s="457"/>
      <c r="T41" s="457"/>
      <c r="U41" s="457"/>
      <c r="V41" s="457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S13" sqref="S13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82" t="s">
        <v>93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483" t="s">
        <v>130</v>
      </c>
      <c r="H8" s="483"/>
      <c r="I8" s="483"/>
      <c r="J8" s="483"/>
      <c r="K8" s="483"/>
      <c r="L8" s="483"/>
      <c r="M8" s="483"/>
      <c r="N8" s="483"/>
      <c r="O8" s="483"/>
      <c r="P8" s="483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79" t="s">
        <v>77</v>
      </c>
      <c r="C11" s="480"/>
      <c r="D11" s="480"/>
      <c r="E11" s="480"/>
      <c r="F11" s="480"/>
      <c r="G11" s="481"/>
      <c r="H11" s="479" t="s">
        <v>79</v>
      </c>
      <c r="I11" s="480"/>
      <c r="J11" s="481"/>
      <c r="K11" s="479" t="s">
        <v>96</v>
      </c>
      <c r="L11" s="480"/>
      <c r="M11" s="481"/>
      <c r="N11" s="479" t="s">
        <v>97</v>
      </c>
      <c r="O11" s="480"/>
      <c r="P11" s="480"/>
      <c r="Q11" s="481"/>
      <c r="R11" s="479" t="s">
        <v>98</v>
      </c>
      <c r="S11" s="480"/>
      <c r="T11" s="480"/>
      <c r="U11" s="481"/>
      <c r="W11" s="87"/>
    </row>
    <row r="12" spans="1:36" s="58" customFormat="1" ht="23.1" customHeight="1">
      <c r="A12" s="59"/>
      <c r="B12" s="470" t="s">
        <v>180</v>
      </c>
      <c r="C12" s="471"/>
      <c r="D12" s="471"/>
      <c r="E12" s="471"/>
      <c r="F12" s="471"/>
      <c r="G12" s="472"/>
      <c r="H12" s="470" t="s">
        <v>181</v>
      </c>
      <c r="I12" s="471"/>
      <c r="J12" s="472"/>
      <c r="K12" s="473" t="s">
        <v>182</v>
      </c>
      <c r="L12" s="474"/>
      <c r="M12" s="475"/>
      <c r="N12" s="470" t="s">
        <v>183</v>
      </c>
      <c r="O12" s="471"/>
      <c r="P12" s="471"/>
      <c r="Q12" s="472"/>
      <c r="R12" s="476" t="s">
        <v>184</v>
      </c>
      <c r="S12" s="477"/>
      <c r="T12" s="477"/>
      <c r="U12" s="478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464"/>
      <c r="K18" s="465"/>
      <c r="L18" s="465"/>
      <c r="M18" s="465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465"/>
      <c r="K19" s="465"/>
      <c r="L19" s="465"/>
      <c r="M19" s="465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466"/>
      <c r="G38" s="466"/>
      <c r="H38" s="466"/>
      <c r="I38" s="466"/>
      <c r="J38" s="141"/>
      <c r="K38" s="74"/>
      <c r="L38" s="467"/>
      <c r="M38" s="467"/>
      <c r="N38" s="467"/>
      <c r="O38" s="467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468"/>
      <c r="Q40" s="468"/>
      <c r="R40" s="468"/>
      <c r="S40" s="468"/>
      <c r="T40" s="468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469"/>
      <c r="E41" s="469"/>
      <c r="F41" s="469"/>
      <c r="G41" s="469"/>
      <c r="H41" s="469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457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6" zoomScaleNormal="100" zoomScaleSheetLayoutView="100" workbookViewId="0">
      <selection activeCell="S33" sqref="S33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</row>
    <row r="2" spans="1:33" s="145" customFormat="1" ht="18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AA2" s="146"/>
      <c r="AB2" s="146"/>
      <c r="AC2" s="146"/>
      <c r="AD2" s="146"/>
      <c r="AE2" s="146"/>
    </row>
    <row r="3" spans="1:33" s="145" customFormat="1" ht="34.5" customHeight="1">
      <c r="A3" s="545" t="s">
        <v>103</v>
      </c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219"/>
      <c r="AA3" s="146"/>
      <c r="AB3" s="146"/>
      <c r="AC3" s="146"/>
      <c r="AD3" s="146"/>
      <c r="AE3" s="146"/>
    </row>
    <row r="4" spans="1:33" s="145" customFormat="1" ht="12" customHeight="1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AA4" s="147"/>
      <c r="AB4" s="147"/>
      <c r="AC4" s="147"/>
      <c r="AD4" s="147"/>
      <c r="AE4" s="147"/>
    </row>
    <row r="5" spans="1:33" ht="18" customHeight="1">
      <c r="A5" s="307"/>
      <c r="B5" s="307"/>
      <c r="C5" s="308" t="s">
        <v>35</v>
      </c>
      <c r="D5" s="306"/>
      <c r="E5" s="306"/>
      <c r="F5" s="307"/>
      <c r="G5" s="307"/>
      <c r="H5" s="309" t="str">
        <f>cert</f>
        <v>SPR17xxxx</v>
      </c>
      <c r="I5" s="306"/>
      <c r="J5" s="306"/>
      <c r="K5" s="306"/>
      <c r="L5" s="306"/>
      <c r="M5" s="306"/>
      <c r="N5" s="306"/>
      <c r="O5" s="307"/>
      <c r="P5" s="310"/>
      <c r="Q5" s="310"/>
      <c r="R5" s="310"/>
      <c r="S5" s="307"/>
      <c r="T5" s="307"/>
      <c r="U5" s="307"/>
      <c r="V5" s="311" t="s">
        <v>104</v>
      </c>
      <c r="W5" s="312"/>
      <c r="X5" s="307"/>
      <c r="Y5" s="307"/>
      <c r="AA5" s="147"/>
      <c r="AB5" s="147"/>
      <c r="AC5" s="147"/>
      <c r="AD5" s="147"/>
      <c r="AE5" s="147"/>
    </row>
    <row r="6" spans="1:33" ht="18" customHeight="1">
      <c r="A6" s="307"/>
      <c r="B6" s="307"/>
      <c r="C6" s="308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7"/>
      <c r="Q6" s="307"/>
      <c r="R6" s="307"/>
      <c r="S6" s="307"/>
      <c r="T6" s="307"/>
      <c r="U6" s="307"/>
      <c r="V6" s="307"/>
      <c r="W6" s="306"/>
      <c r="X6" s="306"/>
      <c r="Y6" s="307"/>
    </row>
    <row r="7" spans="1:33" ht="18" customHeight="1">
      <c r="A7" s="307"/>
      <c r="B7" s="307"/>
      <c r="C7" s="306" t="str">
        <f>Data!A16</f>
        <v>Repeatability ( n = 10 number of measurement )</v>
      </c>
      <c r="D7" s="306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6"/>
      <c r="X7" s="306"/>
      <c r="Y7" s="307"/>
    </row>
    <row r="8" spans="1:33" ht="18" customHeight="1">
      <c r="A8" s="307"/>
      <c r="B8" s="307"/>
      <c r="C8" s="307"/>
      <c r="D8" s="307"/>
      <c r="E8" s="307"/>
      <c r="F8" s="514" t="s">
        <v>99</v>
      </c>
      <c r="G8" s="515"/>
      <c r="H8" s="516"/>
      <c r="I8" s="514" t="s">
        <v>118</v>
      </c>
      <c r="J8" s="515"/>
      <c r="K8" s="516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6"/>
      <c r="X8" s="306"/>
      <c r="Y8" s="307"/>
    </row>
    <row r="9" spans="1:33" ht="18" customHeight="1">
      <c r="A9" s="307"/>
      <c r="B9" s="307"/>
      <c r="C9" s="307"/>
      <c r="D9" s="307"/>
      <c r="E9" s="307"/>
      <c r="F9" s="517"/>
      <c r="G9" s="518"/>
      <c r="H9" s="519"/>
      <c r="I9" s="517"/>
      <c r="J9" s="518"/>
      <c r="K9" s="519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6"/>
      <c r="X9" s="306"/>
      <c r="Y9" s="307"/>
    </row>
    <row r="10" spans="1:33" ht="23.1" customHeight="1">
      <c r="A10" s="307"/>
      <c r="B10" s="307"/>
      <c r="C10" s="306"/>
      <c r="D10" s="307"/>
      <c r="E10" s="307"/>
      <c r="F10" s="510">
        <f>setm10</f>
        <v>1500</v>
      </c>
      <c r="G10" s="511"/>
      <c r="H10" s="313" t="str">
        <f>Data!I9</f>
        <v>g</v>
      </c>
      <c r="I10" s="512">
        <f>stdevm</f>
        <v>0</v>
      </c>
      <c r="J10" s="513"/>
      <c r="K10" s="314" t="str">
        <f>H10</f>
        <v>g</v>
      </c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6"/>
      <c r="X10" s="306"/>
      <c r="Y10" s="307"/>
    </row>
    <row r="11" spans="1:33" ht="18" customHeight="1">
      <c r="A11" s="307"/>
      <c r="B11" s="307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6"/>
      <c r="X11" s="306"/>
      <c r="Y11" s="307"/>
    </row>
    <row r="12" spans="1:33" ht="18" customHeight="1">
      <c r="A12" s="307"/>
      <c r="B12" s="307"/>
      <c r="C12" s="307"/>
      <c r="D12" s="307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7"/>
      <c r="Q12" s="307"/>
      <c r="R12" s="307"/>
      <c r="S12" s="307"/>
      <c r="T12" s="307"/>
      <c r="U12" s="307"/>
      <c r="V12" s="307"/>
      <c r="W12" s="306"/>
      <c r="X12" s="306"/>
      <c r="Y12" s="307"/>
    </row>
    <row r="13" spans="1:33" ht="18" customHeight="1">
      <c r="A13" s="307"/>
      <c r="B13" s="307"/>
      <c r="C13" s="307" t="str">
        <f>Data!A22</f>
        <v xml:space="preserve">Departure of indication from nominal Value </v>
      </c>
      <c r="D13" s="307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7"/>
      <c r="Q13" s="307"/>
      <c r="R13" s="307"/>
      <c r="S13" s="520" t="s">
        <v>142</v>
      </c>
      <c r="T13" s="520"/>
      <c r="U13" s="315" t="str">
        <f>Data!I9</f>
        <v>g</v>
      </c>
      <c r="V13" s="307"/>
      <c r="W13" s="306"/>
      <c r="X13" s="306"/>
      <c r="Y13" s="307"/>
    </row>
    <row r="14" spans="1:33" ht="18" customHeight="1">
      <c r="A14" s="307"/>
      <c r="B14" s="307"/>
      <c r="C14" s="307"/>
      <c r="D14" s="307"/>
      <c r="E14" s="307"/>
      <c r="F14" s="524" t="s">
        <v>143</v>
      </c>
      <c r="G14" s="525"/>
      <c r="H14" s="525"/>
      <c r="I14" s="526"/>
      <c r="J14" s="524" t="s">
        <v>144</v>
      </c>
      <c r="K14" s="528"/>
      <c r="L14" s="528"/>
      <c r="M14" s="529"/>
      <c r="N14" s="527" t="s">
        <v>72</v>
      </c>
      <c r="O14" s="525"/>
      <c r="P14" s="525"/>
      <c r="Q14" s="526"/>
      <c r="R14" s="524" t="s">
        <v>173</v>
      </c>
      <c r="S14" s="528"/>
      <c r="T14" s="528"/>
      <c r="U14" s="529"/>
      <c r="V14" s="307"/>
      <c r="W14" s="307"/>
      <c r="X14" s="307"/>
      <c r="Y14" s="307"/>
      <c r="Z14" s="542" t="s">
        <v>22</v>
      </c>
      <c r="AA14" s="542"/>
      <c r="AB14" s="542"/>
      <c r="AC14" s="542"/>
    </row>
    <row r="15" spans="1:33" ht="18" customHeight="1">
      <c r="A15" s="307"/>
      <c r="B15" s="307"/>
      <c r="C15" s="307"/>
      <c r="D15" s="307"/>
      <c r="E15" s="307"/>
      <c r="F15" s="494"/>
      <c r="G15" s="495"/>
      <c r="H15" s="495"/>
      <c r="I15" s="496"/>
      <c r="J15" s="530"/>
      <c r="K15" s="531"/>
      <c r="L15" s="531"/>
      <c r="M15" s="532"/>
      <c r="N15" s="494"/>
      <c r="O15" s="495"/>
      <c r="P15" s="495"/>
      <c r="Q15" s="496"/>
      <c r="R15" s="530"/>
      <c r="S15" s="531"/>
      <c r="T15" s="531"/>
      <c r="U15" s="532"/>
      <c r="V15" s="307"/>
      <c r="W15" s="307"/>
      <c r="X15" s="307"/>
      <c r="Y15" s="307"/>
      <c r="Z15" s="507" t="s">
        <v>9</v>
      </c>
      <c r="AA15" s="508"/>
      <c r="AB15" s="508"/>
      <c r="AC15" s="509"/>
      <c r="AF15" s="262" t="s">
        <v>147</v>
      </c>
      <c r="AG15" s="262" t="s">
        <v>170</v>
      </c>
    </row>
    <row r="16" spans="1:33" ht="21" customHeight="1">
      <c r="A16" s="307"/>
      <c r="B16" s="307"/>
      <c r="C16" s="307"/>
      <c r="D16" s="307"/>
      <c r="E16" s="307"/>
      <c r="F16" s="527">
        <f>setm0</f>
        <v>0</v>
      </c>
      <c r="G16" s="525"/>
      <c r="H16" s="525"/>
      <c r="I16" s="526"/>
      <c r="J16" s="533">
        <f>uucav0</f>
        <v>0</v>
      </c>
      <c r="K16" s="534"/>
      <c r="L16" s="534"/>
      <c r="M16" s="535"/>
      <c r="N16" s="533">
        <f>eror0</f>
        <v>0</v>
      </c>
      <c r="O16" s="534"/>
      <c r="P16" s="534"/>
      <c r="Q16" s="535"/>
      <c r="R16" s="536">
        <f>IF(Z16&gt;=AG16,Z16,AG16)</f>
        <v>0.96000000000000008</v>
      </c>
      <c r="S16" s="537"/>
      <c r="T16" s="537"/>
      <c r="U16" s="538"/>
      <c r="V16" s="307"/>
      <c r="W16" s="307"/>
      <c r="X16" s="307"/>
      <c r="Y16" s="307"/>
      <c r="Z16" s="488">
        <f>ucer0*1000</f>
        <v>0.96000000000000008</v>
      </c>
      <c r="AA16" s="489"/>
      <c r="AB16" s="489"/>
      <c r="AC16" s="490"/>
      <c r="AF16" s="265" t="s">
        <v>178</v>
      </c>
      <c r="AG16" s="264">
        <v>0.04</v>
      </c>
    </row>
    <row r="17" spans="1:43" ht="21" customHeight="1">
      <c r="A17" s="307"/>
      <c r="B17" s="307"/>
      <c r="C17" s="316"/>
      <c r="D17" s="316"/>
      <c r="E17" s="307"/>
      <c r="F17" s="491">
        <f>setm1</f>
        <v>150</v>
      </c>
      <c r="G17" s="492"/>
      <c r="H17" s="492"/>
      <c r="I17" s="493"/>
      <c r="J17" s="497">
        <f>uucav1</f>
        <v>150</v>
      </c>
      <c r="K17" s="498"/>
      <c r="L17" s="498"/>
      <c r="M17" s="499"/>
      <c r="N17" s="497">
        <f>eror1</f>
        <v>0</v>
      </c>
      <c r="O17" s="498"/>
      <c r="P17" s="498"/>
      <c r="Q17" s="499"/>
      <c r="R17" s="521">
        <f>IF(Z17&gt;=AG17,Z17,AG17)</f>
        <v>1</v>
      </c>
      <c r="S17" s="522"/>
      <c r="T17" s="522"/>
      <c r="U17" s="523"/>
      <c r="V17" s="307"/>
      <c r="W17" s="307"/>
      <c r="X17" s="307"/>
      <c r="Y17" s="307"/>
      <c r="Z17" s="488">
        <f>ucer1*1000</f>
        <v>1</v>
      </c>
      <c r="AA17" s="489"/>
      <c r="AB17" s="489"/>
      <c r="AC17" s="490"/>
      <c r="AD17" s="263"/>
      <c r="AE17" s="263"/>
      <c r="AF17" s="267"/>
      <c r="AG17" s="264">
        <v>0.2</v>
      </c>
      <c r="AJ17" s="148">
        <f t="shared" ref="AJ17:AJ26" si="0">kfac1</f>
        <v>3.31</v>
      </c>
    </row>
    <row r="18" spans="1:43" ht="21" customHeight="1">
      <c r="A18" s="307"/>
      <c r="B18" s="307"/>
      <c r="C18" s="306"/>
      <c r="D18" s="307"/>
      <c r="E18" s="307"/>
      <c r="F18" s="491">
        <f>setm2</f>
        <v>300</v>
      </c>
      <c r="G18" s="492"/>
      <c r="H18" s="492"/>
      <c r="I18" s="493"/>
      <c r="J18" s="497">
        <f>uucav2</f>
        <v>300</v>
      </c>
      <c r="K18" s="498"/>
      <c r="L18" s="498"/>
      <c r="M18" s="499"/>
      <c r="N18" s="497">
        <f>eror2</f>
        <v>0</v>
      </c>
      <c r="O18" s="498"/>
      <c r="P18" s="498"/>
      <c r="Q18" s="499"/>
      <c r="R18" s="521">
        <f t="shared" ref="R18" si="1">IF(Z18&gt;=AG18,Z18,AG18)</f>
        <v>0.9</v>
      </c>
      <c r="S18" s="522"/>
      <c r="T18" s="522"/>
      <c r="U18" s="523"/>
      <c r="V18" s="307"/>
      <c r="W18" s="307"/>
      <c r="X18" s="307"/>
      <c r="Y18" s="307"/>
      <c r="Z18" s="488">
        <f>ucer2*1000</f>
        <v>0.9</v>
      </c>
      <c r="AA18" s="489"/>
      <c r="AB18" s="489"/>
      <c r="AC18" s="490"/>
      <c r="AD18" s="263"/>
      <c r="AE18" s="263"/>
      <c r="AF18" s="267"/>
      <c r="AG18" s="270">
        <v>0.4</v>
      </c>
      <c r="AJ18" s="148">
        <f t="shared" si="0"/>
        <v>3.31</v>
      </c>
    </row>
    <row r="19" spans="1:43" ht="21" customHeight="1">
      <c r="A19" s="307"/>
      <c r="B19" s="307"/>
      <c r="C19" s="306"/>
      <c r="D19" s="307"/>
      <c r="E19" s="307"/>
      <c r="F19" s="491">
        <f>setm3</f>
        <v>450</v>
      </c>
      <c r="G19" s="492"/>
      <c r="H19" s="492"/>
      <c r="I19" s="493"/>
      <c r="J19" s="497">
        <f>uucav3</f>
        <v>450</v>
      </c>
      <c r="K19" s="498"/>
      <c r="L19" s="498"/>
      <c r="M19" s="499"/>
      <c r="N19" s="497">
        <f>eror3</f>
        <v>0</v>
      </c>
      <c r="O19" s="498"/>
      <c r="P19" s="498"/>
      <c r="Q19" s="499"/>
      <c r="R19" s="521">
        <f t="shared" ref="R19:R26" si="2">IF(Z19&gt;=AG19,Z19,AG19)</f>
        <v>1</v>
      </c>
      <c r="S19" s="522"/>
      <c r="T19" s="522"/>
      <c r="U19" s="523"/>
      <c r="V19" s="307"/>
      <c r="W19" s="307"/>
      <c r="X19" s="307"/>
      <c r="Y19" s="307"/>
      <c r="Z19" s="488">
        <f>ucer3*1000</f>
        <v>0.93</v>
      </c>
      <c r="AA19" s="489"/>
      <c r="AB19" s="489"/>
      <c r="AC19" s="490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07"/>
      <c r="B20" s="307"/>
      <c r="C20" s="306"/>
      <c r="D20" s="307"/>
      <c r="E20" s="307"/>
      <c r="F20" s="491">
        <f>setm4</f>
        <v>600</v>
      </c>
      <c r="G20" s="492"/>
      <c r="H20" s="492"/>
      <c r="I20" s="493"/>
      <c r="J20" s="497">
        <f>uucav4</f>
        <v>600</v>
      </c>
      <c r="K20" s="498"/>
      <c r="L20" s="498"/>
      <c r="M20" s="499"/>
      <c r="N20" s="497">
        <f>eror4</f>
        <v>0</v>
      </c>
      <c r="O20" s="498"/>
      <c r="P20" s="498"/>
      <c r="Q20" s="499"/>
      <c r="R20" s="521">
        <f t="shared" si="2"/>
        <v>1</v>
      </c>
      <c r="S20" s="522"/>
      <c r="T20" s="522"/>
      <c r="U20" s="523"/>
      <c r="V20" s="307"/>
      <c r="W20" s="307"/>
      <c r="X20" s="307"/>
      <c r="Y20" s="307"/>
      <c r="Z20" s="488">
        <f>ucer4*1000</f>
        <v>0.98</v>
      </c>
      <c r="AA20" s="489"/>
      <c r="AB20" s="489"/>
      <c r="AC20" s="490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07"/>
      <c r="B21" s="307"/>
      <c r="C21" s="306"/>
      <c r="D21" s="307"/>
      <c r="E21" s="307"/>
      <c r="F21" s="491">
        <f>setm5</f>
        <v>750</v>
      </c>
      <c r="G21" s="492"/>
      <c r="H21" s="492"/>
      <c r="I21" s="493"/>
      <c r="J21" s="497">
        <f>uucav5</f>
        <v>750</v>
      </c>
      <c r="K21" s="498"/>
      <c r="L21" s="498"/>
      <c r="M21" s="499"/>
      <c r="N21" s="497">
        <f>eror5</f>
        <v>0</v>
      </c>
      <c r="O21" s="498"/>
      <c r="P21" s="498"/>
      <c r="Q21" s="499"/>
      <c r="R21" s="521">
        <f t="shared" si="2"/>
        <v>1.0900000000000001</v>
      </c>
      <c r="S21" s="522"/>
      <c r="T21" s="522"/>
      <c r="U21" s="523"/>
      <c r="V21" s="307"/>
      <c r="W21" s="307"/>
      <c r="X21" s="307"/>
      <c r="Y21" s="307"/>
      <c r="Z21" s="485">
        <f>ucer5*1000</f>
        <v>1.0900000000000001</v>
      </c>
      <c r="AA21" s="486"/>
      <c r="AB21" s="486"/>
      <c r="AC21" s="487"/>
      <c r="AD21" s="263"/>
      <c r="AE21" s="263"/>
      <c r="AF21" s="267"/>
      <c r="AG21" s="270">
        <v>1</v>
      </c>
      <c r="AJ21" s="148">
        <f t="shared" si="0"/>
        <v>3.31</v>
      </c>
    </row>
    <row r="22" spans="1:43" ht="21" customHeight="1">
      <c r="A22" s="307"/>
      <c r="B22" s="307"/>
      <c r="C22" s="307"/>
      <c r="D22" s="307"/>
      <c r="E22" s="307"/>
      <c r="F22" s="491">
        <f>setm6</f>
        <v>900</v>
      </c>
      <c r="G22" s="492"/>
      <c r="H22" s="492"/>
      <c r="I22" s="493"/>
      <c r="J22" s="497">
        <f>uucav6</f>
        <v>900</v>
      </c>
      <c r="K22" s="498"/>
      <c r="L22" s="498"/>
      <c r="M22" s="499"/>
      <c r="N22" s="497">
        <f>eror6</f>
        <v>0</v>
      </c>
      <c r="O22" s="498"/>
      <c r="P22" s="498"/>
      <c r="Q22" s="499"/>
      <c r="R22" s="521">
        <f t="shared" si="2"/>
        <v>1</v>
      </c>
      <c r="S22" s="522"/>
      <c r="T22" s="522"/>
      <c r="U22" s="523"/>
      <c r="V22" s="307"/>
      <c r="W22" s="307"/>
      <c r="X22" s="307"/>
      <c r="Y22" s="307"/>
      <c r="Z22" s="488">
        <f>ucer1*1000</f>
        <v>1</v>
      </c>
      <c r="AA22" s="489"/>
      <c r="AB22" s="489"/>
      <c r="AC22" s="490"/>
      <c r="AF22" s="267"/>
      <c r="AG22" s="270">
        <v>1</v>
      </c>
      <c r="AJ22" s="148">
        <f t="shared" si="0"/>
        <v>3.31</v>
      </c>
    </row>
    <row r="23" spans="1:43" ht="21" customHeight="1">
      <c r="A23" s="307"/>
      <c r="B23" s="307"/>
      <c r="C23" s="307"/>
      <c r="D23" s="307"/>
      <c r="E23" s="307"/>
      <c r="F23" s="491">
        <f>setm7</f>
        <v>1050</v>
      </c>
      <c r="G23" s="492"/>
      <c r="H23" s="492"/>
      <c r="I23" s="493"/>
      <c r="J23" s="497">
        <f>uucav7</f>
        <v>1050</v>
      </c>
      <c r="K23" s="498"/>
      <c r="L23" s="498"/>
      <c r="M23" s="499"/>
      <c r="N23" s="497">
        <f>eror7</f>
        <v>0</v>
      </c>
      <c r="O23" s="498"/>
      <c r="P23" s="498"/>
      <c r="Q23" s="499"/>
      <c r="R23" s="521">
        <f t="shared" si="2"/>
        <v>2</v>
      </c>
      <c r="S23" s="522"/>
      <c r="T23" s="522"/>
      <c r="U23" s="523"/>
      <c r="V23" s="307"/>
      <c r="W23" s="307"/>
      <c r="X23" s="307"/>
      <c r="Y23" s="307"/>
      <c r="Z23" s="488">
        <f>ucer2*1000</f>
        <v>0.9</v>
      </c>
      <c r="AA23" s="489"/>
      <c r="AB23" s="489"/>
      <c r="AC23" s="490"/>
      <c r="AF23" s="267"/>
      <c r="AG23" s="270">
        <v>2</v>
      </c>
      <c r="AJ23" s="148">
        <f t="shared" si="0"/>
        <v>3.31</v>
      </c>
    </row>
    <row r="24" spans="1:43" ht="21" customHeight="1">
      <c r="A24" s="307"/>
      <c r="B24" s="307"/>
      <c r="C24" s="307"/>
      <c r="D24" s="307"/>
      <c r="E24" s="307"/>
      <c r="F24" s="491">
        <f>setm8</f>
        <v>1200</v>
      </c>
      <c r="G24" s="492"/>
      <c r="H24" s="492"/>
      <c r="I24" s="493"/>
      <c r="J24" s="497">
        <f>uucav8</f>
        <v>1200</v>
      </c>
      <c r="K24" s="498"/>
      <c r="L24" s="498"/>
      <c r="M24" s="499"/>
      <c r="N24" s="497">
        <f>eror8</f>
        <v>0</v>
      </c>
      <c r="O24" s="498"/>
      <c r="P24" s="498"/>
      <c r="Q24" s="499"/>
      <c r="R24" s="521">
        <f t="shared" si="2"/>
        <v>2</v>
      </c>
      <c r="S24" s="522"/>
      <c r="T24" s="522"/>
      <c r="U24" s="523"/>
      <c r="V24" s="307"/>
      <c r="W24" s="307"/>
      <c r="X24" s="307"/>
      <c r="Y24" s="307"/>
      <c r="Z24" s="488">
        <f>ucer3*1000</f>
        <v>0.93</v>
      </c>
      <c r="AA24" s="489"/>
      <c r="AB24" s="489"/>
      <c r="AC24" s="490"/>
      <c r="AF24" s="267"/>
      <c r="AG24" s="270">
        <v>2</v>
      </c>
      <c r="AJ24" s="148">
        <f t="shared" si="0"/>
        <v>3.31</v>
      </c>
    </row>
    <row r="25" spans="1:43" ht="21" customHeight="1">
      <c r="A25" s="307"/>
      <c r="B25" s="307"/>
      <c r="C25" s="307"/>
      <c r="D25" s="307"/>
      <c r="E25" s="307"/>
      <c r="F25" s="491">
        <f>setm9</f>
        <v>1350</v>
      </c>
      <c r="G25" s="492"/>
      <c r="H25" s="492"/>
      <c r="I25" s="493"/>
      <c r="J25" s="497">
        <f>uucav9</f>
        <v>1350</v>
      </c>
      <c r="K25" s="498"/>
      <c r="L25" s="498"/>
      <c r="M25" s="499"/>
      <c r="N25" s="497">
        <f>eror9</f>
        <v>0</v>
      </c>
      <c r="O25" s="498"/>
      <c r="P25" s="498"/>
      <c r="Q25" s="499"/>
      <c r="R25" s="521">
        <f t="shared" si="2"/>
        <v>2</v>
      </c>
      <c r="S25" s="522"/>
      <c r="T25" s="522"/>
      <c r="U25" s="523"/>
      <c r="V25" s="307"/>
      <c r="W25" s="307"/>
      <c r="X25" s="307"/>
      <c r="Y25" s="307"/>
      <c r="Z25" s="488">
        <f>ucer4*1000</f>
        <v>0.98</v>
      </c>
      <c r="AA25" s="489"/>
      <c r="AB25" s="489"/>
      <c r="AC25" s="490"/>
      <c r="AF25" s="267"/>
      <c r="AG25" s="270">
        <v>2</v>
      </c>
      <c r="AJ25" s="148">
        <f t="shared" si="0"/>
        <v>3.31</v>
      </c>
    </row>
    <row r="26" spans="1:43" ht="21" customHeight="1">
      <c r="A26" s="307"/>
      <c r="B26" s="316"/>
      <c r="C26" s="307"/>
      <c r="D26" s="307"/>
      <c r="E26" s="307"/>
      <c r="F26" s="494">
        <f>setm10</f>
        <v>1500</v>
      </c>
      <c r="G26" s="495"/>
      <c r="H26" s="495"/>
      <c r="I26" s="496"/>
      <c r="J26" s="504">
        <f>uucav10</f>
        <v>1500</v>
      </c>
      <c r="K26" s="505"/>
      <c r="L26" s="505"/>
      <c r="M26" s="506"/>
      <c r="N26" s="504">
        <f>eror10</f>
        <v>0</v>
      </c>
      <c r="O26" s="505"/>
      <c r="P26" s="505"/>
      <c r="Q26" s="506"/>
      <c r="R26" s="539">
        <f t="shared" si="2"/>
        <v>2</v>
      </c>
      <c r="S26" s="540"/>
      <c r="T26" s="540"/>
      <c r="U26" s="541"/>
      <c r="V26" s="307"/>
      <c r="W26" s="307"/>
      <c r="X26" s="307"/>
      <c r="Y26" s="307"/>
      <c r="Z26" s="485">
        <f>ucer5*1000</f>
        <v>1.0900000000000001</v>
      </c>
      <c r="AA26" s="486"/>
      <c r="AB26" s="486"/>
      <c r="AC26" s="487"/>
      <c r="AF26" s="266"/>
      <c r="AG26" s="270">
        <v>2</v>
      </c>
      <c r="AJ26" s="148">
        <f t="shared" si="0"/>
        <v>3.31</v>
      </c>
    </row>
    <row r="27" spans="1:43" ht="18" customHeight="1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17"/>
      <c r="Y27" s="318"/>
      <c r="Z27" s="150"/>
    </row>
    <row r="28" spans="1:43" ht="18" customHeight="1">
      <c r="A28" s="307"/>
      <c r="B28" s="308"/>
      <c r="C28" s="307" t="str">
        <f>Data!A37</f>
        <v>Off - Center Loading</v>
      </c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17"/>
      <c r="Y28" s="307"/>
    </row>
    <row r="29" spans="1:43" ht="18" customHeight="1">
      <c r="A29" s="307"/>
      <c r="B29" s="308"/>
      <c r="C29" s="307"/>
      <c r="D29" s="307"/>
      <c r="E29" s="307"/>
      <c r="F29" s="549" t="str">
        <f>Data!A40</f>
        <v>Center</v>
      </c>
      <c r="G29" s="550"/>
      <c r="H29" s="551"/>
      <c r="I29" s="500">
        <f>AVERAGE(Data!D40:S40)</f>
        <v>375</v>
      </c>
      <c r="J29" s="501"/>
      <c r="K29" s="319" t="str">
        <f>Data!I9</f>
        <v>g</v>
      </c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</row>
    <row r="30" spans="1:43" ht="18" customHeight="1">
      <c r="A30" s="307"/>
      <c r="B30" s="308"/>
      <c r="C30" s="307"/>
      <c r="D30" s="307"/>
      <c r="E30" s="307"/>
      <c r="F30" s="552" t="str">
        <f>Data!A41</f>
        <v>Front</v>
      </c>
      <c r="G30" s="553"/>
      <c r="H30" s="554"/>
      <c r="I30" s="555">
        <f>AVERAGE(Data!D41:S41)</f>
        <v>375</v>
      </c>
      <c r="J30" s="556"/>
      <c r="K30" s="320" t="str">
        <f>K29</f>
        <v>g</v>
      </c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07"/>
      <c r="B31" s="307"/>
      <c r="C31" s="307"/>
      <c r="D31" s="307"/>
      <c r="E31" s="307"/>
      <c r="F31" s="552" t="str">
        <f>Data!A42</f>
        <v>Back</v>
      </c>
      <c r="G31" s="553"/>
      <c r="H31" s="554"/>
      <c r="I31" s="555">
        <f>AVERAGE(Data!D42:S42)</f>
        <v>375</v>
      </c>
      <c r="J31" s="556"/>
      <c r="K31" s="320" t="str">
        <f>K29</f>
        <v>g</v>
      </c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07"/>
      <c r="B32" s="307"/>
      <c r="C32" s="307"/>
      <c r="D32" s="307"/>
      <c r="E32" s="307"/>
      <c r="F32" s="552" t="str">
        <f>Data!A43</f>
        <v>Left</v>
      </c>
      <c r="G32" s="553"/>
      <c r="H32" s="554"/>
      <c r="I32" s="555">
        <f>AVERAGE(Data!D43:S43)</f>
        <v>375</v>
      </c>
      <c r="J32" s="556"/>
      <c r="K32" s="320" t="str">
        <f>K29</f>
        <v>g</v>
      </c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07"/>
      <c r="B33" s="307"/>
      <c r="C33" s="307"/>
      <c r="D33" s="307"/>
      <c r="E33" s="307"/>
      <c r="F33" s="546" t="str">
        <f>Data!A44</f>
        <v>Right</v>
      </c>
      <c r="G33" s="547"/>
      <c r="H33" s="548"/>
      <c r="I33" s="555">
        <f>AVERAGE(Data!D44:S44)</f>
        <v>375</v>
      </c>
      <c r="J33" s="556"/>
      <c r="K33" s="321" t="str">
        <f>K29</f>
        <v>g</v>
      </c>
      <c r="L33" s="307"/>
      <c r="M33" s="307"/>
      <c r="N33" s="307"/>
      <c r="O33" s="307"/>
      <c r="P33" s="307"/>
      <c r="Q33" s="307"/>
      <c r="R33" s="306"/>
      <c r="S33" s="322"/>
      <c r="T33" s="307"/>
      <c r="U33" s="307"/>
      <c r="V33" s="307"/>
      <c r="W33" s="307"/>
      <c r="X33" s="307"/>
      <c r="Y33" s="307"/>
      <c r="Z33" s="145"/>
    </row>
    <row r="34" spans="1:43" ht="18" customHeight="1">
      <c r="A34" s="307"/>
      <c r="B34" s="323"/>
      <c r="C34" s="307"/>
      <c r="D34" s="307"/>
      <c r="E34" s="307"/>
      <c r="F34" s="514" t="s">
        <v>119</v>
      </c>
      <c r="G34" s="515"/>
      <c r="H34" s="516"/>
      <c r="I34" s="500">
        <f>dem</f>
        <v>0</v>
      </c>
      <c r="J34" s="501"/>
      <c r="K34" s="557" t="str">
        <f>K29</f>
        <v>g</v>
      </c>
      <c r="L34" s="307"/>
      <c r="M34" s="307"/>
      <c r="N34" s="307"/>
      <c r="O34" s="307"/>
      <c r="P34" s="307"/>
      <c r="Q34" s="307"/>
      <c r="R34" s="322"/>
      <c r="S34" s="322"/>
      <c r="T34" s="307"/>
      <c r="U34" s="307"/>
      <c r="V34" s="307"/>
      <c r="W34" s="307"/>
      <c r="X34" s="307"/>
      <c r="Y34" s="307"/>
    </row>
    <row r="35" spans="1:43" ht="23.1" customHeight="1">
      <c r="A35" s="307"/>
      <c r="B35" s="307"/>
      <c r="C35" s="307"/>
      <c r="D35" s="307"/>
      <c r="E35" s="307"/>
      <c r="F35" s="517"/>
      <c r="G35" s="518"/>
      <c r="H35" s="519"/>
      <c r="I35" s="502"/>
      <c r="J35" s="503"/>
      <c r="K35" s="558"/>
      <c r="L35" s="307"/>
      <c r="M35" s="307"/>
      <c r="N35" s="307"/>
      <c r="O35" s="307"/>
      <c r="P35" s="307"/>
      <c r="Q35" s="307"/>
      <c r="R35" s="306"/>
      <c r="S35" s="306"/>
      <c r="T35" s="307"/>
      <c r="U35" s="307"/>
      <c r="V35" s="307"/>
      <c r="W35" s="307"/>
      <c r="X35" s="307"/>
      <c r="Y35" s="307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543" t="s">
        <v>106</v>
      </c>
      <c r="D38" s="543"/>
      <c r="E38" s="543"/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  <c r="U38" s="543"/>
      <c r="V38" s="543"/>
      <c r="W38" s="543"/>
      <c r="X38" s="543"/>
      <c r="Y38" s="543"/>
      <c r="Z38" s="145"/>
      <c r="AM38" s="148"/>
      <c r="AN38" s="148"/>
      <c r="AO38" s="148"/>
      <c r="AP38" s="148"/>
      <c r="AQ38" s="148"/>
    </row>
    <row r="39" spans="1:43" ht="21" customHeight="1">
      <c r="A39" s="484" t="s">
        <v>107</v>
      </c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484"/>
      <c r="X39" s="484"/>
      <c r="Y39" s="484"/>
      <c r="Z39" s="326"/>
      <c r="AM39" s="148"/>
      <c r="AN39" s="148"/>
      <c r="AO39" s="148"/>
      <c r="AP39" s="148"/>
      <c r="AQ39" s="148"/>
    </row>
    <row r="40" spans="1:43" ht="21" customHeight="1">
      <c r="A40" s="544" t="s">
        <v>108</v>
      </c>
      <c r="B40" s="544"/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4"/>
      <c r="R40" s="544"/>
      <c r="S40" s="544"/>
      <c r="T40" s="544"/>
      <c r="U40" s="544"/>
      <c r="V40" s="544"/>
      <c r="W40" s="544"/>
      <c r="X40" s="544"/>
      <c r="Y40" s="544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J23:M23"/>
    <mergeCell ref="J24:M24"/>
    <mergeCell ref="F20:I20"/>
    <mergeCell ref="F21:I21"/>
    <mergeCell ref="F22:I22"/>
    <mergeCell ref="N20:Q20"/>
    <mergeCell ref="N21:Q21"/>
    <mergeCell ref="N22:Q22"/>
    <mergeCell ref="J20:M20"/>
    <mergeCell ref="J21:M21"/>
    <mergeCell ref="J22:M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A39:Y39"/>
    <mergeCell ref="Z26:AC26"/>
    <mergeCell ref="Z21:AC21"/>
    <mergeCell ref="Z22:AC22"/>
    <mergeCell ref="Z23:AC23"/>
    <mergeCell ref="Z24:AC24"/>
    <mergeCell ref="Z25:AC25"/>
    <mergeCell ref="F23:I23"/>
    <mergeCell ref="F24:I24"/>
    <mergeCell ref="F25:I25"/>
    <mergeCell ref="F26:I26"/>
    <mergeCell ref="J25:M25"/>
    <mergeCell ref="N23:Q23"/>
    <mergeCell ref="N24:Q24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U21" sqref="U21"/>
    </sheetView>
  </sheetViews>
  <sheetFormatPr defaultRowHeight="18" customHeight="1"/>
  <cols>
    <col min="1" max="1" width="1.42578125" customWidth="1"/>
    <col min="2" max="2" width="11.42578125" style="5" customWidth="1"/>
    <col min="3" max="11" width="8.140625" style="5" customWidth="1"/>
    <col min="12" max="12" width="10" style="5" customWidth="1"/>
    <col min="13" max="13" width="9.42578125" style="5" customWidth="1"/>
    <col min="14" max="15" width="8.140625" style="5" customWidth="1"/>
    <col min="16" max="16" width="9" style="5" customWidth="1"/>
    <col min="17" max="17" width="8.140625" style="5" customWidth="1"/>
    <col min="18" max="18" width="0.85546875" style="5" customWidth="1"/>
    <col min="19" max="19" width="0.140625" style="5" hidden="1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559" t="s">
        <v>61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/>
      <c r="S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60" t="s">
        <v>0</v>
      </c>
      <c r="C3" s="562" t="s">
        <v>1</v>
      </c>
      <c r="D3" s="563"/>
      <c r="E3" s="563"/>
      <c r="F3" s="563"/>
      <c r="G3" s="564"/>
      <c r="H3" s="562" t="s">
        <v>2</v>
      </c>
      <c r="I3" s="564"/>
      <c r="J3" s="562" t="s">
        <v>3</v>
      </c>
      <c r="K3" s="564"/>
      <c r="L3" s="562" t="s">
        <v>4</v>
      </c>
      <c r="M3" s="564"/>
      <c r="N3" s="565" t="s">
        <v>198</v>
      </c>
      <c r="O3" s="566"/>
      <c r="P3" s="571" t="s">
        <v>199</v>
      </c>
      <c r="Q3" s="572"/>
      <c r="R3"/>
      <c r="S3"/>
      <c r="T3" s="580" t="s">
        <v>5</v>
      </c>
      <c r="U3" s="580" t="s">
        <v>6</v>
      </c>
      <c r="V3" s="580" t="s">
        <v>195</v>
      </c>
      <c r="W3" s="580" t="s">
        <v>196</v>
      </c>
      <c r="X3" s="580" t="s">
        <v>197</v>
      </c>
    </row>
    <row r="4" spans="1:244" ht="18" customHeight="1">
      <c r="B4" s="561"/>
      <c r="C4" s="582" t="s">
        <v>7</v>
      </c>
      <c r="D4" s="583"/>
      <c r="E4" s="583"/>
      <c r="F4" s="583"/>
      <c r="G4" s="584"/>
      <c r="H4" s="582" t="s">
        <v>8</v>
      </c>
      <c r="I4" s="584"/>
      <c r="J4" s="582" t="s">
        <v>9</v>
      </c>
      <c r="K4" s="584"/>
      <c r="L4" s="582" t="s">
        <v>10</v>
      </c>
      <c r="M4" s="584"/>
      <c r="N4" s="567"/>
      <c r="O4" s="568"/>
      <c r="P4" s="573"/>
      <c r="Q4" s="574"/>
      <c r="R4"/>
      <c r="S4"/>
      <c r="T4" s="581"/>
      <c r="U4" s="581"/>
      <c r="V4" s="581"/>
      <c r="W4" s="581"/>
      <c r="X4" s="581"/>
    </row>
    <row r="5" spans="1:244" ht="18" customHeight="1">
      <c r="B5" s="328" t="str">
        <f>Data!I9</f>
        <v>g</v>
      </c>
      <c r="C5" s="585" t="str">
        <f>B5</f>
        <v>g</v>
      </c>
      <c r="D5" s="586"/>
      <c r="E5" s="586"/>
      <c r="F5" s="586"/>
      <c r="G5" s="587"/>
      <c r="H5" s="585" t="str">
        <f>C5</f>
        <v>g</v>
      </c>
      <c r="I5" s="587"/>
      <c r="J5" s="585" t="str">
        <f>H5</f>
        <v>g</v>
      </c>
      <c r="K5" s="587"/>
      <c r="L5" s="585" t="str">
        <f>J5</f>
        <v>g</v>
      </c>
      <c r="M5" s="587"/>
      <c r="N5" s="569"/>
      <c r="O5" s="570"/>
      <c r="P5" s="575"/>
      <c r="Q5" s="576"/>
      <c r="R5"/>
      <c r="S5"/>
      <c r="T5" s="588"/>
      <c r="U5" s="588"/>
      <c r="V5" s="588"/>
      <c r="W5" s="588"/>
      <c r="X5" s="329"/>
    </row>
    <row r="6" spans="1:244" ht="18" customHeight="1">
      <c r="B6" s="330" t="s">
        <v>11</v>
      </c>
      <c r="C6" s="577" t="s">
        <v>11</v>
      </c>
      <c r="D6" s="578"/>
      <c r="E6" s="578"/>
      <c r="F6" s="579"/>
      <c r="G6" s="331" t="s">
        <v>6</v>
      </c>
      <c r="H6" s="330" t="s">
        <v>11</v>
      </c>
      <c r="I6" s="331" t="s">
        <v>6</v>
      </c>
      <c r="J6" s="330" t="s">
        <v>11</v>
      </c>
      <c r="K6" s="331" t="s">
        <v>6</v>
      </c>
      <c r="L6" s="330" t="s">
        <v>11</v>
      </c>
      <c r="M6" s="331" t="s">
        <v>6</v>
      </c>
      <c r="N6" s="344" t="s">
        <v>11</v>
      </c>
      <c r="O6" s="345" t="s">
        <v>200</v>
      </c>
      <c r="P6" s="346" t="s">
        <v>11</v>
      </c>
      <c r="Q6" s="345" t="s">
        <v>200</v>
      </c>
      <c r="R6"/>
      <c r="S6"/>
      <c r="T6" s="332" t="s">
        <v>11</v>
      </c>
      <c r="U6" s="333" t="s">
        <v>11</v>
      </c>
      <c r="V6" s="332" t="s">
        <v>11</v>
      </c>
      <c r="W6" s="334" t="s">
        <v>11</v>
      </c>
      <c r="X6" s="332" t="s">
        <v>11</v>
      </c>
    </row>
    <row r="7" spans="1:244" ht="18" customHeight="1">
      <c r="B7" s="335">
        <f>Data!A26</f>
        <v>150</v>
      </c>
      <c r="C7" s="342"/>
      <c r="D7" s="342"/>
      <c r="E7" s="342"/>
      <c r="F7" s="342"/>
      <c r="G7" s="340">
        <f>((C7+D7+E7+F7)/10^3/2)</f>
        <v>0</v>
      </c>
      <c r="H7" s="341">
        <f>(((-(B7/1000)*($C$21-1.2))*((1/7950)-(1/8000)))*1000)</f>
        <v>2.6298960579931148E-6</v>
      </c>
      <c r="I7" s="340">
        <f t="shared" ref="I7:I15" si="0">H7/SQRT(3)</f>
        <v>1.5183711970230606E-6</v>
      </c>
      <c r="J7" s="341">
        <f>Data!O9/2</f>
        <v>5.0000000000000001E-4</v>
      </c>
      <c r="K7" s="340">
        <f t="shared" ref="K7:K15" si="1">J7/SQRT(3)</f>
        <v>2.886751345948129E-4</v>
      </c>
      <c r="L7" s="341">
        <f>Data!X26</f>
        <v>0</v>
      </c>
      <c r="M7" s="340">
        <f t="shared" ref="M7:M15" si="2">L7/1</f>
        <v>0</v>
      </c>
      <c r="N7" s="347">
        <f t="shared" ref="N7:N16" si="3">dem</f>
        <v>0</v>
      </c>
      <c r="O7" s="348">
        <f>N7/(2*SQRT(3))</f>
        <v>0</v>
      </c>
      <c r="P7" s="349">
        <f>(4*(1*10^-6)*B7)</f>
        <v>5.9999999999999995E-4</v>
      </c>
      <c r="Q7" s="350">
        <f>P7/(2*SQRT(3))</f>
        <v>1.7320508075688773E-4</v>
      </c>
      <c r="R7"/>
      <c r="S7"/>
      <c r="T7" s="339">
        <f>SQRT(SUMSQ(G7,I7,K7,M7,O7,Q7))</f>
        <v>3.366535886997572E-4</v>
      </c>
      <c r="U7" s="336">
        <f t="shared" ref="U7:U16" si="4">M7/1</f>
        <v>0</v>
      </c>
      <c r="V7" s="337" t="str">
        <f>IF(U7=0,"∞",(T7^4/(U7^4/3)))</f>
        <v>∞</v>
      </c>
      <c r="W7" s="343">
        <f>IF(V7="∞",2,_xlfn.T.INV.2T(0.0455,V7))</f>
        <v>2</v>
      </c>
      <c r="X7" s="338">
        <f>(T7*W7)</f>
        <v>6.733071773995144E-4</v>
      </c>
    </row>
    <row r="8" spans="1:244" ht="18" customHeight="1">
      <c r="B8" s="335">
        <f>Data!A27</f>
        <v>300</v>
      </c>
      <c r="C8" s="342"/>
      <c r="D8" s="342"/>
      <c r="E8" s="342"/>
      <c r="F8" s="342"/>
      <c r="G8" s="340">
        <f t="shared" ref="G8:G16" si="5">((C8+D8+E8+F8)/10^3/2)</f>
        <v>0</v>
      </c>
      <c r="H8" s="341">
        <f t="shared" ref="H8:H16" si="6">(((-(B8/1000)*($C$21-1.2))*((1/7950)-(1/8000)))*1000)</f>
        <v>5.2597921159862296E-6</v>
      </c>
      <c r="I8" s="340">
        <f t="shared" si="0"/>
        <v>3.0367423940461213E-6</v>
      </c>
      <c r="J8" s="341">
        <f>J7</f>
        <v>5.0000000000000001E-4</v>
      </c>
      <c r="K8" s="340">
        <f t="shared" si="1"/>
        <v>2.886751345948129E-4</v>
      </c>
      <c r="L8" s="341">
        <f>Data!X27</f>
        <v>0</v>
      </c>
      <c r="M8" s="340">
        <f t="shared" si="2"/>
        <v>0</v>
      </c>
      <c r="N8" s="347">
        <f t="shared" si="3"/>
        <v>0</v>
      </c>
      <c r="O8" s="348">
        <f t="shared" ref="O8:O16" si="7">N8/(2*SQRT(3))</f>
        <v>0</v>
      </c>
      <c r="P8" s="349">
        <f t="shared" ref="P8:P16" si="8">(4*(1*10^-6)*B8)</f>
        <v>1.1999999999999999E-3</v>
      </c>
      <c r="Q8" s="350">
        <f t="shared" ref="Q8:Q16" si="9">P8/(2*SQRT(3))</f>
        <v>3.4641016151377546E-4</v>
      </c>
      <c r="R8"/>
      <c r="S8"/>
      <c r="T8" s="339">
        <f t="shared" ref="T8:T16" si="10">SQRT(SUMSQ(G8,I8,K8,M8,O8,Q8))</f>
        <v>4.5093520059727107E-4</v>
      </c>
      <c r="U8" s="336">
        <f t="shared" si="4"/>
        <v>0</v>
      </c>
      <c r="V8" s="337" t="str">
        <f t="shared" ref="V8:V16" si="11">IF(U8=0,"∞",(T8^4/(U8^4/3)))</f>
        <v>∞</v>
      </c>
      <c r="W8" s="343">
        <f t="shared" ref="W8:W16" si="12">IF(V8="∞",2,_xlfn.T.INV.2T(0.0455,V8))</f>
        <v>2</v>
      </c>
      <c r="X8" s="338">
        <f t="shared" ref="X8:X16" si="13">(T8*W8)</f>
        <v>9.0187040119454214E-4</v>
      </c>
    </row>
    <row r="9" spans="1:244" ht="18" customHeight="1">
      <c r="B9" s="335">
        <f>Data!A28</f>
        <v>450</v>
      </c>
      <c r="C9" s="342"/>
      <c r="D9" s="342"/>
      <c r="E9" s="342"/>
      <c r="F9" s="342"/>
      <c r="G9" s="340">
        <f t="shared" si="5"/>
        <v>0</v>
      </c>
      <c r="H9" s="341">
        <f t="shared" si="6"/>
        <v>7.8896881739793448E-6</v>
      </c>
      <c r="I9" s="340">
        <f t="shared" si="0"/>
        <v>4.5551135910691819E-6</v>
      </c>
      <c r="J9" s="341">
        <f t="shared" ref="J9:J16" si="14">J8</f>
        <v>5.0000000000000001E-4</v>
      </c>
      <c r="K9" s="340">
        <f t="shared" si="1"/>
        <v>2.886751345948129E-4</v>
      </c>
      <c r="L9" s="341">
        <f>Data!X28</f>
        <v>0</v>
      </c>
      <c r="M9" s="340">
        <f t="shared" si="2"/>
        <v>0</v>
      </c>
      <c r="N9" s="347">
        <f t="shared" si="3"/>
        <v>0</v>
      </c>
      <c r="O9" s="348">
        <f t="shared" si="7"/>
        <v>0</v>
      </c>
      <c r="P9" s="349">
        <f t="shared" si="8"/>
        <v>1.8E-3</v>
      </c>
      <c r="Q9" s="350">
        <f t="shared" si="9"/>
        <v>5.1961524227066324E-4</v>
      </c>
      <c r="R9"/>
      <c r="S9"/>
      <c r="T9" s="339">
        <f t="shared" si="10"/>
        <v>5.9443593632380683E-4</v>
      </c>
      <c r="U9" s="336">
        <f t="shared" si="4"/>
        <v>0</v>
      </c>
      <c r="V9" s="337" t="str">
        <f t="shared" si="11"/>
        <v>∞</v>
      </c>
      <c r="W9" s="343">
        <f t="shared" si="12"/>
        <v>2</v>
      </c>
      <c r="X9" s="338">
        <f t="shared" si="13"/>
        <v>1.1888718726476137E-3</v>
      </c>
    </row>
    <row r="10" spans="1:244" ht="18" customHeight="1">
      <c r="B10" s="335">
        <f>Data!A29</f>
        <v>600</v>
      </c>
      <c r="C10" s="342"/>
      <c r="D10" s="342"/>
      <c r="E10" s="342"/>
      <c r="F10" s="342"/>
      <c r="G10" s="340">
        <f t="shared" si="5"/>
        <v>0</v>
      </c>
      <c r="H10" s="341">
        <f t="shared" si="6"/>
        <v>1.0519584231972459E-5</v>
      </c>
      <c r="I10" s="340">
        <f t="shared" si="0"/>
        <v>6.0734847880922426E-6</v>
      </c>
      <c r="J10" s="341">
        <f t="shared" si="14"/>
        <v>5.0000000000000001E-4</v>
      </c>
      <c r="K10" s="340">
        <f t="shared" si="1"/>
        <v>2.886751345948129E-4</v>
      </c>
      <c r="L10" s="341">
        <f>Data!X29</f>
        <v>0</v>
      </c>
      <c r="M10" s="340">
        <f t="shared" si="2"/>
        <v>0</v>
      </c>
      <c r="N10" s="347">
        <f t="shared" si="3"/>
        <v>0</v>
      </c>
      <c r="O10" s="348">
        <f t="shared" si="7"/>
        <v>0</v>
      </c>
      <c r="P10" s="349">
        <f t="shared" si="8"/>
        <v>2.3999999999999998E-3</v>
      </c>
      <c r="Q10" s="350">
        <f t="shared" si="9"/>
        <v>6.9282032302755091E-4</v>
      </c>
      <c r="R10"/>
      <c r="S10"/>
      <c r="T10" s="339">
        <f t="shared" si="10"/>
        <v>7.5057992282687961E-4</v>
      </c>
      <c r="U10" s="336">
        <f t="shared" si="4"/>
        <v>0</v>
      </c>
      <c r="V10" s="337" t="str">
        <f t="shared" si="11"/>
        <v>∞</v>
      </c>
      <c r="W10" s="343">
        <f t="shared" si="12"/>
        <v>2</v>
      </c>
      <c r="X10" s="338">
        <f t="shared" si="13"/>
        <v>1.5011598456537592E-3</v>
      </c>
    </row>
    <row r="11" spans="1:244" ht="18" customHeight="1">
      <c r="B11" s="335">
        <f>Data!A30</f>
        <v>750</v>
      </c>
      <c r="C11" s="342"/>
      <c r="D11" s="342"/>
      <c r="E11" s="342"/>
      <c r="F11" s="342"/>
      <c r="G11" s="340">
        <f t="shared" si="5"/>
        <v>0</v>
      </c>
      <c r="H11" s="341">
        <f t="shared" si="6"/>
        <v>1.3149480289965575E-5</v>
      </c>
      <c r="I11" s="340">
        <f t="shared" si="0"/>
        <v>7.5918559851153032E-6</v>
      </c>
      <c r="J11" s="341">
        <f t="shared" si="14"/>
        <v>5.0000000000000001E-4</v>
      </c>
      <c r="K11" s="340">
        <f t="shared" si="1"/>
        <v>2.886751345948129E-4</v>
      </c>
      <c r="L11" s="341">
        <f>Data!X30</f>
        <v>0</v>
      </c>
      <c r="M11" s="340">
        <f t="shared" si="2"/>
        <v>0</v>
      </c>
      <c r="N11" s="347">
        <f t="shared" si="3"/>
        <v>0</v>
      </c>
      <c r="O11" s="348">
        <f t="shared" si="7"/>
        <v>0</v>
      </c>
      <c r="P11" s="349">
        <f t="shared" si="8"/>
        <v>3.0000000000000001E-3</v>
      </c>
      <c r="Q11" s="350">
        <f t="shared" si="9"/>
        <v>8.660254037844387E-4</v>
      </c>
      <c r="R11"/>
      <c r="S11"/>
      <c r="T11" s="339">
        <f t="shared" si="10"/>
        <v>9.1290249731865245E-4</v>
      </c>
      <c r="U11" s="336">
        <f t="shared" si="4"/>
        <v>0</v>
      </c>
      <c r="V11" s="337" t="str">
        <f t="shared" si="11"/>
        <v>∞</v>
      </c>
      <c r="W11" s="343">
        <f t="shared" si="12"/>
        <v>2</v>
      </c>
      <c r="X11" s="338">
        <f t="shared" si="13"/>
        <v>1.8258049946373049E-3</v>
      </c>
    </row>
    <row r="12" spans="1:244" ht="18" customHeight="1">
      <c r="B12" s="335">
        <f>Data!A31</f>
        <v>900</v>
      </c>
      <c r="C12" s="342"/>
      <c r="D12" s="342"/>
      <c r="E12" s="342"/>
      <c r="F12" s="342"/>
      <c r="G12" s="340">
        <f t="shared" si="5"/>
        <v>0</v>
      </c>
      <c r="H12" s="341">
        <f t="shared" si="6"/>
        <v>1.577937634795869E-5</v>
      </c>
      <c r="I12" s="340">
        <f t="shared" si="0"/>
        <v>9.1102271821383639E-6</v>
      </c>
      <c r="J12" s="341">
        <f t="shared" si="14"/>
        <v>5.0000000000000001E-4</v>
      </c>
      <c r="K12" s="340">
        <f t="shared" si="1"/>
        <v>2.886751345948129E-4</v>
      </c>
      <c r="L12" s="341">
        <f>Data!X31</f>
        <v>0</v>
      </c>
      <c r="M12" s="340">
        <f t="shared" si="2"/>
        <v>0</v>
      </c>
      <c r="N12" s="347">
        <f t="shared" si="3"/>
        <v>0</v>
      </c>
      <c r="O12" s="348">
        <f t="shared" si="7"/>
        <v>0</v>
      </c>
      <c r="P12" s="349">
        <f t="shared" si="8"/>
        <v>3.5999999999999999E-3</v>
      </c>
      <c r="Q12" s="350">
        <f t="shared" si="9"/>
        <v>1.0392304845413265E-3</v>
      </c>
      <c r="R12"/>
      <c r="S12"/>
      <c r="T12" s="339">
        <f t="shared" si="10"/>
        <v>1.0786177866012798E-3</v>
      </c>
      <c r="U12" s="336">
        <f t="shared" si="4"/>
        <v>0</v>
      </c>
      <c r="V12" s="337" t="str">
        <f t="shared" si="11"/>
        <v>∞</v>
      </c>
      <c r="W12" s="343">
        <f t="shared" si="12"/>
        <v>2</v>
      </c>
      <c r="X12" s="338">
        <f t="shared" si="13"/>
        <v>2.1572355732025596E-3</v>
      </c>
    </row>
    <row r="13" spans="1:244" ht="18" customHeight="1">
      <c r="B13" s="335">
        <f>Data!A32</f>
        <v>1050</v>
      </c>
      <c r="C13" s="342"/>
      <c r="D13" s="342"/>
      <c r="E13" s="342"/>
      <c r="F13" s="342"/>
      <c r="G13" s="340">
        <f t="shared" si="5"/>
        <v>0</v>
      </c>
      <c r="H13" s="341">
        <f t="shared" si="6"/>
        <v>1.8409272405951802E-5</v>
      </c>
      <c r="I13" s="340">
        <f t="shared" si="0"/>
        <v>1.0628598379161424E-5</v>
      </c>
      <c r="J13" s="341">
        <f t="shared" si="14"/>
        <v>5.0000000000000001E-4</v>
      </c>
      <c r="K13" s="340">
        <f t="shared" si="1"/>
        <v>2.886751345948129E-4</v>
      </c>
      <c r="L13" s="341">
        <f>Data!X32</f>
        <v>0</v>
      </c>
      <c r="M13" s="340">
        <f t="shared" si="2"/>
        <v>0</v>
      </c>
      <c r="N13" s="347">
        <f t="shared" si="3"/>
        <v>0</v>
      </c>
      <c r="O13" s="348">
        <f t="shared" si="7"/>
        <v>0</v>
      </c>
      <c r="P13" s="349">
        <f t="shared" si="8"/>
        <v>4.1999999999999997E-3</v>
      </c>
      <c r="Q13" s="350">
        <f t="shared" si="9"/>
        <v>1.212435565298214E-3</v>
      </c>
      <c r="R13"/>
      <c r="S13"/>
      <c r="T13" s="339">
        <f t="shared" si="10"/>
        <v>1.2463732588742582E-3</v>
      </c>
      <c r="U13" s="336">
        <f t="shared" si="4"/>
        <v>0</v>
      </c>
      <c r="V13" s="337" t="str">
        <f t="shared" si="11"/>
        <v>∞</v>
      </c>
      <c r="W13" s="343">
        <f t="shared" si="12"/>
        <v>2</v>
      </c>
      <c r="X13" s="338">
        <f t="shared" si="13"/>
        <v>2.4927465177485165E-3</v>
      </c>
    </row>
    <row r="14" spans="1:244" ht="18" customHeight="1">
      <c r="B14" s="335">
        <f>Data!A33</f>
        <v>1200</v>
      </c>
      <c r="C14" s="342"/>
      <c r="D14" s="342"/>
      <c r="E14" s="342"/>
      <c r="F14" s="342"/>
      <c r="G14" s="340">
        <f t="shared" si="5"/>
        <v>0</v>
      </c>
      <c r="H14" s="341">
        <f t="shared" si="6"/>
        <v>2.1039168463944918E-5</v>
      </c>
      <c r="I14" s="340">
        <f t="shared" si="0"/>
        <v>1.2146969576184485E-5</v>
      </c>
      <c r="J14" s="341">
        <f t="shared" si="14"/>
        <v>5.0000000000000001E-4</v>
      </c>
      <c r="K14" s="340">
        <f t="shared" si="1"/>
        <v>2.886751345948129E-4</v>
      </c>
      <c r="L14" s="341">
        <f>Data!X33</f>
        <v>0</v>
      </c>
      <c r="M14" s="340">
        <f t="shared" si="2"/>
        <v>0</v>
      </c>
      <c r="N14" s="347">
        <f t="shared" si="3"/>
        <v>0</v>
      </c>
      <c r="O14" s="348">
        <f t="shared" si="7"/>
        <v>0</v>
      </c>
      <c r="P14" s="349">
        <f t="shared" si="8"/>
        <v>4.7999999999999996E-3</v>
      </c>
      <c r="Q14" s="350">
        <f t="shared" si="9"/>
        <v>1.3856406460551018E-3</v>
      </c>
      <c r="R14"/>
      <c r="S14"/>
      <c r="T14" s="339">
        <f t="shared" si="10"/>
        <v>1.4154437050632632E-3</v>
      </c>
      <c r="U14" s="336">
        <f t="shared" si="4"/>
        <v>0</v>
      </c>
      <c r="V14" s="337" t="str">
        <f t="shared" si="11"/>
        <v>∞</v>
      </c>
      <c r="W14" s="343">
        <f t="shared" si="12"/>
        <v>2</v>
      </c>
      <c r="X14" s="338">
        <f t="shared" si="13"/>
        <v>2.8308874101265263E-3</v>
      </c>
    </row>
    <row r="15" spans="1:244" ht="18" customHeight="1">
      <c r="B15" s="335">
        <f>Data!A34</f>
        <v>1350</v>
      </c>
      <c r="C15" s="342"/>
      <c r="D15" s="342"/>
      <c r="E15" s="342"/>
      <c r="F15" s="342"/>
      <c r="G15" s="340">
        <f t="shared" si="5"/>
        <v>0</v>
      </c>
      <c r="H15" s="341">
        <f t="shared" si="6"/>
        <v>2.3669064521938034E-5</v>
      </c>
      <c r="I15" s="340">
        <f t="shared" si="0"/>
        <v>1.3665340773207547E-5</v>
      </c>
      <c r="J15" s="341">
        <f t="shared" si="14"/>
        <v>5.0000000000000001E-4</v>
      </c>
      <c r="K15" s="340">
        <f t="shared" si="1"/>
        <v>2.886751345948129E-4</v>
      </c>
      <c r="L15" s="341">
        <f>Data!X34</f>
        <v>0</v>
      </c>
      <c r="M15" s="340">
        <f t="shared" si="2"/>
        <v>0</v>
      </c>
      <c r="N15" s="347">
        <f t="shared" si="3"/>
        <v>0</v>
      </c>
      <c r="O15" s="348">
        <f t="shared" si="7"/>
        <v>0</v>
      </c>
      <c r="P15" s="349">
        <f t="shared" si="8"/>
        <v>5.3999999999999994E-3</v>
      </c>
      <c r="Q15" s="350">
        <f t="shared" si="9"/>
        <v>1.5588457268119894E-3</v>
      </c>
      <c r="R15"/>
      <c r="S15"/>
      <c r="T15" s="339">
        <f t="shared" si="10"/>
        <v>1.5854084883309351E-3</v>
      </c>
      <c r="U15" s="336">
        <f t="shared" si="4"/>
        <v>0</v>
      </c>
      <c r="V15" s="337" t="str">
        <f t="shared" si="11"/>
        <v>∞</v>
      </c>
      <c r="W15" s="343">
        <f t="shared" si="12"/>
        <v>2</v>
      </c>
      <c r="X15" s="338">
        <f t="shared" si="13"/>
        <v>3.1708169766618702E-3</v>
      </c>
    </row>
    <row r="16" spans="1:244" ht="18" customHeight="1">
      <c r="B16" s="335">
        <f>Data!A35</f>
        <v>1500</v>
      </c>
      <c r="C16" s="342"/>
      <c r="D16" s="342"/>
      <c r="E16" s="342"/>
      <c r="F16" s="342"/>
      <c r="G16" s="340">
        <f t="shared" si="5"/>
        <v>0</v>
      </c>
      <c r="H16" s="341">
        <f t="shared" si="6"/>
        <v>2.629896057993115E-5</v>
      </c>
      <c r="I16" s="340">
        <f>H16/SQRT(3)</f>
        <v>1.5183711970230606E-5</v>
      </c>
      <c r="J16" s="341">
        <f t="shared" si="14"/>
        <v>5.0000000000000001E-4</v>
      </c>
      <c r="K16" s="340">
        <f>J16/SQRT(3)</f>
        <v>2.886751345948129E-4</v>
      </c>
      <c r="L16" s="341">
        <f>Data!X35</f>
        <v>0</v>
      </c>
      <c r="M16" s="340">
        <f>L16/1</f>
        <v>0</v>
      </c>
      <c r="N16" s="347">
        <f t="shared" si="3"/>
        <v>0</v>
      </c>
      <c r="O16" s="348">
        <f t="shared" si="7"/>
        <v>0</v>
      </c>
      <c r="P16" s="349">
        <f t="shared" si="8"/>
        <v>6.0000000000000001E-3</v>
      </c>
      <c r="Q16" s="350">
        <f t="shared" si="9"/>
        <v>1.7320508075688774E-3</v>
      </c>
      <c r="R16"/>
      <c r="S16"/>
      <c r="T16" s="339">
        <f t="shared" si="10"/>
        <v>1.7560079380351697E-3</v>
      </c>
      <c r="U16" s="336">
        <f t="shared" si="4"/>
        <v>0</v>
      </c>
      <c r="V16" s="337" t="str">
        <f t="shared" si="11"/>
        <v>∞</v>
      </c>
      <c r="W16" s="343">
        <f t="shared" si="12"/>
        <v>2</v>
      </c>
      <c r="X16" s="338">
        <f t="shared" si="13"/>
        <v>3.5120158760703394E-3</v>
      </c>
    </row>
    <row r="17" spans="2:19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/>
      <c r="S17"/>
    </row>
    <row r="18" spans="2:19" ht="18" customHeight="1">
      <c r="B18" s="355" t="s">
        <v>201</v>
      </c>
      <c r="C18" s="362">
        <f>Data!R3</f>
        <v>23</v>
      </c>
      <c r="D18" s="356"/>
      <c r="E18" s="351"/>
      <c r="F18" s="352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9" ht="18" customHeight="1">
      <c r="B19" s="357" t="s">
        <v>202</v>
      </c>
      <c r="C19" s="363">
        <f>Data!U3</f>
        <v>50</v>
      </c>
      <c r="D19" s="358"/>
      <c r="E19" s="353"/>
      <c r="F19" s="354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9" ht="18" customHeight="1">
      <c r="B20" s="357" t="s">
        <v>147</v>
      </c>
      <c r="C20" s="364" t="str">
        <f>CONCATENATE(Data!D9,"-",Data!G9," g.")</f>
        <v>0-1500 g.</v>
      </c>
      <c r="D20" s="359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9" ht="18" customHeight="1">
      <c r="B21" s="366" t="s">
        <v>205</v>
      </c>
      <c r="C21" s="362">
        <f>((0.34848*1006.1)-((0.009*$C$19)*(EXP(0.061*$C$18))))/(273.15+$C$18)</f>
        <v>1.1776984814282181</v>
      </c>
      <c r="D21" s="360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9" ht="18" customHeight="1">
      <c r="B22" s="355" t="s">
        <v>203</v>
      </c>
      <c r="C22" s="365">
        <f>resuuc</f>
        <v>1E-3</v>
      </c>
      <c r="D22" s="361" t="s">
        <v>204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9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9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9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9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9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9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9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9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9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9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28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29</v>
      </c>
    </row>
    <row r="93" spans="2:7" ht="18" customHeight="1">
      <c r="B93" s="25" t="s">
        <v>30</v>
      </c>
      <c r="C93" s="22"/>
      <c r="D93" s="22"/>
      <c r="E93" s="22"/>
      <c r="F93" s="22"/>
      <c r="G93" s="25" t="s">
        <v>31</v>
      </c>
    </row>
    <row r="94" spans="2:7" ht="18" customHeight="1">
      <c r="B94" s="22" t="s">
        <v>32</v>
      </c>
      <c r="C94" s="22"/>
      <c r="D94" s="22"/>
      <c r="E94" s="22"/>
      <c r="F94" s="22"/>
      <c r="G94" s="22" t="s">
        <v>33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W3:W5"/>
    <mergeCell ref="V3:V5"/>
    <mergeCell ref="U3:U5"/>
    <mergeCell ref="T3:T5"/>
    <mergeCell ref="B2:Q2"/>
    <mergeCell ref="B3:B4"/>
    <mergeCell ref="C3:G3"/>
    <mergeCell ref="H3:I3"/>
    <mergeCell ref="J3:K3"/>
    <mergeCell ref="L3:M3"/>
    <mergeCell ref="N3:O5"/>
    <mergeCell ref="P3:Q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F6" sqref="F6:G6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606" t="s">
        <v>61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599">
        <f>setm0</f>
        <v>0</v>
      </c>
      <c r="G3" s="599"/>
      <c r="H3" s="224" t="s">
        <v>23</v>
      </c>
      <c r="I3" s="222" t="s">
        <v>147</v>
      </c>
      <c r="J3" s="222">
        <f>rang</f>
        <v>1500</v>
      </c>
      <c r="K3" s="261" t="s">
        <v>23</v>
      </c>
      <c r="L3" s="225"/>
    </row>
    <row r="4" spans="1:12" ht="15" customHeight="1">
      <c r="A4" s="593" t="s">
        <v>148</v>
      </c>
      <c r="B4" s="593" t="s">
        <v>149</v>
      </c>
      <c r="C4" s="227" t="s">
        <v>150</v>
      </c>
      <c r="D4" s="600" t="s">
        <v>151</v>
      </c>
      <c r="E4" s="601"/>
      <c r="F4" s="602" t="s">
        <v>152</v>
      </c>
      <c r="G4" s="603"/>
      <c r="H4" s="593" t="s">
        <v>153</v>
      </c>
      <c r="I4" s="595" t="s">
        <v>154</v>
      </c>
      <c r="J4" s="227" t="s">
        <v>150</v>
      </c>
      <c r="K4" s="228" t="s">
        <v>151</v>
      </c>
      <c r="L4" s="593" t="s">
        <v>155</v>
      </c>
    </row>
    <row r="5" spans="1:12" ht="15" customHeight="1">
      <c r="A5" s="594"/>
      <c r="B5" s="594"/>
      <c r="C5" s="229" t="s">
        <v>156</v>
      </c>
      <c r="D5" s="597" t="s">
        <v>171</v>
      </c>
      <c r="E5" s="598"/>
      <c r="F5" s="604"/>
      <c r="G5" s="605"/>
      <c r="H5" s="594"/>
      <c r="I5" s="596"/>
      <c r="J5" s="229" t="s">
        <v>156</v>
      </c>
      <c r="K5" s="229" t="s">
        <v>172</v>
      </c>
      <c r="L5" s="594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589" t="s">
        <v>161</v>
      </c>
      <c r="G6" s="590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589" t="s">
        <v>161</v>
      </c>
      <c r="G7" s="590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589" t="s">
        <v>158</v>
      </c>
      <c r="G8" s="590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589"/>
      <c r="G9" s="590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589"/>
      <c r="G10" s="590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589"/>
      <c r="G11" s="590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589"/>
      <c r="G12" s="590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589"/>
      <c r="G13" s="590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589"/>
      <c r="G14" s="590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591" t="str">
        <f>IF(G16=2,"Normal","T-Distibution")</f>
        <v>T-Distibution</v>
      </c>
      <c r="G15" s="592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599">
        <f>setm1</f>
        <v>150</v>
      </c>
      <c r="G18" s="599"/>
      <c r="H18" s="224" t="s">
        <v>23</v>
      </c>
      <c r="I18" s="222" t="s">
        <v>147</v>
      </c>
      <c r="J18" s="222">
        <f>rang</f>
        <v>1500</v>
      </c>
      <c r="K18" s="261" t="s">
        <v>23</v>
      </c>
      <c r="L18" s="225"/>
    </row>
    <row r="19" spans="1:12" ht="15" customHeight="1">
      <c r="A19" s="593" t="s">
        <v>148</v>
      </c>
      <c r="B19" s="593" t="s">
        <v>149</v>
      </c>
      <c r="C19" s="227" t="s">
        <v>150</v>
      </c>
      <c r="D19" s="600" t="s">
        <v>151</v>
      </c>
      <c r="E19" s="601"/>
      <c r="F19" s="602" t="s">
        <v>152</v>
      </c>
      <c r="G19" s="603"/>
      <c r="H19" s="593" t="s">
        <v>153</v>
      </c>
      <c r="I19" s="595" t="s">
        <v>154</v>
      </c>
      <c r="J19" s="227" t="s">
        <v>150</v>
      </c>
      <c r="K19" s="272" t="s">
        <v>151</v>
      </c>
      <c r="L19" s="593" t="s">
        <v>155</v>
      </c>
    </row>
    <row r="20" spans="1:12" ht="15" customHeight="1">
      <c r="A20" s="594"/>
      <c r="B20" s="594"/>
      <c r="C20" s="271" t="s">
        <v>156</v>
      </c>
      <c r="D20" s="597" t="s">
        <v>171</v>
      </c>
      <c r="E20" s="598"/>
      <c r="F20" s="604"/>
      <c r="G20" s="605"/>
      <c r="H20" s="594"/>
      <c r="I20" s="596"/>
      <c r="J20" s="271" t="s">
        <v>156</v>
      </c>
      <c r="K20" s="271" t="s">
        <v>172</v>
      </c>
      <c r="L20" s="594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1.4999999999999999E-4</v>
      </c>
      <c r="E21" s="233"/>
      <c r="F21" s="589" t="s">
        <v>161</v>
      </c>
      <c r="G21" s="590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8.6602540378443864E-5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589" t="s">
        <v>161</v>
      </c>
      <c r="G22" s="590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589" t="s">
        <v>158</v>
      </c>
      <c r="G23" s="590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589"/>
      <c r="G24" s="590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589"/>
      <c r="G25" s="590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589"/>
      <c r="G26" s="590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589"/>
      <c r="G27" s="590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589"/>
      <c r="G28" s="590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589"/>
      <c r="G29" s="590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591" t="str">
        <f>IF(G31=2,"Normal","T-Distibution")</f>
        <v>T-Distibution</v>
      </c>
      <c r="G30" s="592"/>
      <c r="H30" s="243"/>
      <c r="I30" s="245"/>
      <c r="J30" s="246"/>
      <c r="K30" s="234">
        <f>SQRT(SUMSQ(K21:K29))</f>
        <v>3.0138568866708542E-4</v>
      </c>
      <c r="L30" s="247">
        <f>IF(K32="",L22,K32)</f>
        <v>3.5643000000000002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1E-3</v>
      </c>
      <c r="L31" s="247">
        <f>IF(K32="",L22,K32)</f>
        <v>3.5643000000000002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3.5643000000000002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599">
        <f>setm2</f>
        <v>300</v>
      </c>
      <c r="G33" s="599"/>
      <c r="H33" s="224" t="s">
        <v>23</v>
      </c>
      <c r="I33" s="222" t="s">
        <v>147</v>
      </c>
      <c r="J33" s="222">
        <f>rang</f>
        <v>1500</v>
      </c>
      <c r="K33" s="261" t="s">
        <v>23</v>
      </c>
      <c r="L33" s="225"/>
    </row>
    <row r="34" spans="1:12" ht="15" customHeight="1">
      <c r="A34" s="593" t="s">
        <v>148</v>
      </c>
      <c r="B34" s="593" t="s">
        <v>149</v>
      </c>
      <c r="C34" s="227" t="s">
        <v>150</v>
      </c>
      <c r="D34" s="600" t="s">
        <v>151</v>
      </c>
      <c r="E34" s="601"/>
      <c r="F34" s="602" t="s">
        <v>152</v>
      </c>
      <c r="G34" s="603"/>
      <c r="H34" s="593" t="s">
        <v>153</v>
      </c>
      <c r="I34" s="595" t="s">
        <v>154</v>
      </c>
      <c r="J34" s="227" t="s">
        <v>150</v>
      </c>
      <c r="K34" s="228" t="s">
        <v>151</v>
      </c>
      <c r="L34" s="593" t="s">
        <v>155</v>
      </c>
    </row>
    <row r="35" spans="1:12" ht="15" customHeight="1">
      <c r="A35" s="594"/>
      <c r="B35" s="594"/>
      <c r="C35" s="229" t="s">
        <v>156</v>
      </c>
      <c r="D35" s="597" t="s">
        <v>171</v>
      </c>
      <c r="E35" s="598"/>
      <c r="F35" s="604"/>
      <c r="G35" s="605"/>
      <c r="H35" s="594"/>
      <c r="I35" s="596"/>
      <c r="J35" s="229" t="s">
        <v>156</v>
      </c>
      <c r="K35" s="229" t="s">
        <v>172</v>
      </c>
      <c r="L35" s="594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2.9999999999999997E-4</v>
      </c>
      <c r="E36" s="233"/>
      <c r="F36" s="589" t="s">
        <v>161</v>
      </c>
      <c r="G36" s="590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1.7320508075688773E-4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589" t="s">
        <v>161</v>
      </c>
      <c r="G37" s="590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589" t="s">
        <v>158</v>
      </c>
      <c r="G38" s="590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589"/>
      <c r="G39" s="590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589"/>
      <c r="G40" s="590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589"/>
      <c r="G41" s="590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589"/>
      <c r="G42" s="590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589"/>
      <c r="G43" s="590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589"/>
      <c r="G44" s="590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591" t="str">
        <f>IF(G46=2,"Normal","T-Distibution")</f>
        <v>T-Distibution</v>
      </c>
      <c r="G45" s="592"/>
      <c r="H45" s="243"/>
      <c r="I45" s="245"/>
      <c r="J45" s="246"/>
      <c r="K45" s="234">
        <f>SQRT(SUMSQ(K36:K44))</f>
        <v>3.3665016461206928E-4</v>
      </c>
      <c r="L45" s="247">
        <f>IF(K47="",L37,K47)</f>
        <v>5.5488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2.65</v>
      </c>
      <c r="H46" s="249"/>
      <c r="I46" s="253"/>
      <c r="J46" s="246"/>
      <c r="K46" s="254">
        <f>ROUNDUP((K45*G46),5)</f>
        <v>8.9999999999999998E-4</v>
      </c>
      <c r="L46" s="247">
        <f>IF(K47="",L37,K47)</f>
        <v>5.5488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2.65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5.5488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599">
        <f>setm3</f>
        <v>450</v>
      </c>
      <c r="G48" s="599"/>
      <c r="H48" s="224" t="s">
        <v>23</v>
      </c>
      <c r="I48" s="222" t="s">
        <v>147</v>
      </c>
      <c r="J48" s="222">
        <f>rang</f>
        <v>1500</v>
      </c>
      <c r="K48" s="261" t="s">
        <v>23</v>
      </c>
      <c r="L48" s="225"/>
    </row>
    <row r="49" spans="1:12" ht="15" customHeight="1">
      <c r="A49" s="593" t="s">
        <v>148</v>
      </c>
      <c r="B49" s="593" t="s">
        <v>149</v>
      </c>
      <c r="C49" s="227" t="s">
        <v>150</v>
      </c>
      <c r="D49" s="600" t="s">
        <v>151</v>
      </c>
      <c r="E49" s="601"/>
      <c r="F49" s="602" t="s">
        <v>152</v>
      </c>
      <c r="G49" s="603"/>
      <c r="H49" s="593" t="s">
        <v>153</v>
      </c>
      <c r="I49" s="595" t="s">
        <v>154</v>
      </c>
      <c r="J49" s="227" t="s">
        <v>150</v>
      </c>
      <c r="K49" s="228" t="s">
        <v>151</v>
      </c>
      <c r="L49" s="593" t="s">
        <v>155</v>
      </c>
    </row>
    <row r="50" spans="1:12" ht="15" customHeight="1">
      <c r="A50" s="594"/>
      <c r="B50" s="594"/>
      <c r="C50" s="229" t="s">
        <v>156</v>
      </c>
      <c r="D50" s="597" t="s">
        <v>171</v>
      </c>
      <c r="E50" s="598"/>
      <c r="F50" s="604"/>
      <c r="G50" s="605"/>
      <c r="H50" s="594"/>
      <c r="I50" s="596"/>
      <c r="J50" s="229" t="s">
        <v>156</v>
      </c>
      <c r="K50" s="229" t="s">
        <v>172</v>
      </c>
      <c r="L50" s="594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4.4999999999999999E-4</v>
      </c>
      <c r="E51" s="233"/>
      <c r="F51" s="589" t="s">
        <v>161</v>
      </c>
      <c r="G51" s="590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2.5980762113533162E-4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589" t="s">
        <v>161</v>
      </c>
      <c r="G52" s="590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589" t="s">
        <v>158</v>
      </c>
      <c r="G53" s="590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589"/>
      <c r="G54" s="590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589"/>
      <c r="G55" s="590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589"/>
      <c r="G56" s="590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589"/>
      <c r="G57" s="590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589"/>
      <c r="G58" s="590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589"/>
      <c r="G59" s="590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591" t="str">
        <f>IF(G61=2,"Normal","T-Distibution")</f>
        <v>T-Distibution</v>
      </c>
      <c r="G60" s="592"/>
      <c r="H60" s="243"/>
      <c r="I60" s="245"/>
      <c r="J60" s="246"/>
      <c r="K60" s="234">
        <f>SQRT(SUMSQ(K51:K59))</f>
        <v>3.8837267325770149E-4</v>
      </c>
      <c r="L60" s="247">
        <f>IF(K62="",L52,K62)</f>
        <v>9.8283000000000005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2.37</v>
      </c>
      <c r="H61" s="249"/>
      <c r="I61" s="253"/>
      <c r="J61" s="246"/>
      <c r="K61" s="254">
        <f>ROUNDUP((K60*G61),5)</f>
        <v>9.3000000000000005E-4</v>
      </c>
      <c r="L61" s="247">
        <f>IF(K62="",L52,K62)</f>
        <v>9.8283000000000005</v>
      </c>
    </row>
    <row r="62" spans="1:12" ht="15" customHeight="1">
      <c r="C62" s="255"/>
      <c r="D62" s="255"/>
      <c r="E62" s="256"/>
      <c r="F62" s="257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57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>2.37</v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9.8283000000000005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599">
        <f>setm4</f>
        <v>600</v>
      </c>
      <c r="G63" s="599"/>
      <c r="H63" s="224" t="s">
        <v>23</v>
      </c>
      <c r="I63" s="222" t="s">
        <v>147</v>
      </c>
      <c r="J63" s="222">
        <f>rang</f>
        <v>1500</v>
      </c>
      <c r="K63" s="261" t="s">
        <v>23</v>
      </c>
      <c r="L63" s="225"/>
    </row>
    <row r="64" spans="1:12" ht="15" customHeight="1">
      <c r="A64" s="593" t="s">
        <v>148</v>
      </c>
      <c r="B64" s="593" t="s">
        <v>149</v>
      </c>
      <c r="C64" s="227" t="s">
        <v>150</v>
      </c>
      <c r="D64" s="600" t="s">
        <v>151</v>
      </c>
      <c r="E64" s="601"/>
      <c r="F64" s="602" t="s">
        <v>152</v>
      </c>
      <c r="G64" s="603"/>
      <c r="H64" s="593" t="s">
        <v>153</v>
      </c>
      <c r="I64" s="595" t="s">
        <v>154</v>
      </c>
      <c r="J64" s="227" t="s">
        <v>150</v>
      </c>
      <c r="K64" s="228" t="s">
        <v>151</v>
      </c>
      <c r="L64" s="593" t="s">
        <v>155</v>
      </c>
    </row>
    <row r="65" spans="1:12" ht="15" customHeight="1">
      <c r="A65" s="594"/>
      <c r="B65" s="594"/>
      <c r="C65" s="229" t="s">
        <v>156</v>
      </c>
      <c r="D65" s="597" t="s">
        <v>171</v>
      </c>
      <c r="E65" s="598"/>
      <c r="F65" s="604"/>
      <c r="G65" s="605"/>
      <c r="H65" s="594"/>
      <c r="I65" s="596"/>
      <c r="J65" s="229" t="s">
        <v>156</v>
      </c>
      <c r="K65" s="229" t="s">
        <v>172</v>
      </c>
      <c r="L65" s="594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5.9999999999999995E-4</v>
      </c>
      <c r="E66" s="233"/>
      <c r="F66" s="589" t="s">
        <v>161</v>
      </c>
      <c r="G66" s="590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3.4641016151377546E-4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589" t="s">
        <v>161</v>
      </c>
      <c r="G67" s="590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589" t="s">
        <v>158</v>
      </c>
      <c r="G68" s="590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589"/>
      <c r="G69" s="590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589"/>
      <c r="G70" s="590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589"/>
      <c r="G71" s="590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589"/>
      <c r="G72" s="590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589"/>
      <c r="G73" s="590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589"/>
      <c r="G74" s="590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591" t="str">
        <f>IF(G76=2,"Normal","T-Distibution")</f>
        <v>T-Distibution</v>
      </c>
      <c r="G75" s="592"/>
      <c r="H75" s="243"/>
      <c r="I75" s="245"/>
      <c r="J75" s="246"/>
      <c r="K75" s="234">
        <f>SQRT(SUMSQ(K66:K74))</f>
        <v>4.509249752822894E-4</v>
      </c>
      <c r="L75" s="247">
        <f>IF(K77="",L67,K77)</f>
        <v>17.86079999999999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2.17</v>
      </c>
      <c r="H76" s="249"/>
      <c r="I76" s="253"/>
      <c r="J76" s="246"/>
      <c r="K76" s="254">
        <f>ROUNDUP((K75*G76),5)</f>
        <v>9.7999999999999997E-4</v>
      </c>
      <c r="L76" s="247">
        <f>IF(K77="",L67,K77)</f>
        <v>17.86079999999999</v>
      </c>
    </row>
    <row r="77" spans="1:12" ht="15" customHeight="1">
      <c r="C77" s="255"/>
      <c r="D77" s="255"/>
      <c r="E77" s="256"/>
      <c r="F77" s="257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7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2.17</v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17.86079999999999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599">
        <f>setm5</f>
        <v>750</v>
      </c>
      <c r="G78" s="599"/>
      <c r="H78" s="224" t="s">
        <v>23</v>
      </c>
      <c r="I78" s="222" t="s">
        <v>147</v>
      </c>
      <c r="J78" s="222">
        <f>rang</f>
        <v>1500</v>
      </c>
      <c r="K78" s="261" t="s">
        <v>23</v>
      </c>
      <c r="L78" s="225"/>
    </row>
    <row r="79" spans="1:12" ht="15" customHeight="1">
      <c r="A79" s="593" t="s">
        <v>148</v>
      </c>
      <c r="B79" s="593" t="s">
        <v>149</v>
      </c>
      <c r="C79" s="227" t="s">
        <v>150</v>
      </c>
      <c r="D79" s="600" t="s">
        <v>151</v>
      </c>
      <c r="E79" s="601"/>
      <c r="F79" s="602" t="s">
        <v>152</v>
      </c>
      <c r="G79" s="603"/>
      <c r="H79" s="593" t="s">
        <v>153</v>
      </c>
      <c r="I79" s="595" t="s">
        <v>154</v>
      </c>
      <c r="J79" s="227" t="s">
        <v>150</v>
      </c>
      <c r="K79" s="228" t="s">
        <v>151</v>
      </c>
      <c r="L79" s="593" t="s">
        <v>155</v>
      </c>
    </row>
    <row r="80" spans="1:12" ht="15" customHeight="1">
      <c r="A80" s="594"/>
      <c r="B80" s="594"/>
      <c r="C80" s="229" t="s">
        <v>156</v>
      </c>
      <c r="D80" s="597" t="s">
        <v>171</v>
      </c>
      <c r="E80" s="598"/>
      <c r="F80" s="604"/>
      <c r="G80" s="605"/>
      <c r="H80" s="594"/>
      <c r="I80" s="596"/>
      <c r="J80" s="229" t="s">
        <v>156</v>
      </c>
      <c r="K80" s="229" t="s">
        <v>172</v>
      </c>
      <c r="L80" s="594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7.5000000000000002E-4</v>
      </c>
      <c r="E81" s="233"/>
      <c r="F81" s="589" t="s">
        <v>161</v>
      </c>
      <c r="G81" s="590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4.3301270189221935E-4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589" t="s">
        <v>161</v>
      </c>
      <c r="G82" s="590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589" t="s">
        <v>158</v>
      </c>
      <c r="G83" s="590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589"/>
      <c r="G84" s="590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589"/>
      <c r="G85" s="590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589"/>
      <c r="G86" s="590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589"/>
      <c r="G87" s="590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589"/>
      <c r="G88" s="590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589"/>
      <c r="G89" s="590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591" t="str">
        <f>IF(G91=2,"Normal","T-Distibution")</f>
        <v>T-Distibution</v>
      </c>
      <c r="G90" s="592"/>
      <c r="H90" s="243"/>
      <c r="I90" s="245"/>
      <c r="J90" s="246"/>
      <c r="K90" s="234">
        <f>SQRT(SUMSQ(K81:K89))</f>
        <v>5.2041649986653326E-4</v>
      </c>
      <c r="L90" s="247">
        <f>IF(K92="",L82,K92)</f>
        <v>31.687500000000018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2.09</v>
      </c>
      <c r="H91" s="249"/>
      <c r="I91" s="253"/>
      <c r="J91" s="246"/>
      <c r="K91" s="254">
        <f>ROUNDUP((K90*G91),5)</f>
        <v>1.09E-3</v>
      </c>
      <c r="L91" s="247">
        <f>IF(K92="",L82,K92)</f>
        <v>31.687500000000018</v>
      </c>
    </row>
    <row r="92" spans="1:12" ht="15" customHeight="1">
      <c r="C92" s="255"/>
      <c r="D92" s="255"/>
      <c r="E92" s="256"/>
      <c r="F92" s="257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>
        <f>IF(AND(K92&gt;=25,K92&lt;30),2.11, IF(AND(K92&gt;=30,K92&lt;35),2.09, IF(AND(K92&gt;=35,K92&lt;40),2.07, IF(AND(K92&gt;=40,K92&lt;45),2.06, IF(AND(K92&gt;=45,K92&lt;50),2.06,"")))))</f>
        <v>2.09</v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31.687500000000018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599">
        <f>setm6</f>
        <v>900</v>
      </c>
      <c r="G93" s="599"/>
      <c r="H93" s="224" t="s">
        <v>23</v>
      </c>
      <c r="I93" s="222" t="s">
        <v>147</v>
      </c>
      <c r="J93" s="222">
        <f>rang</f>
        <v>1500</v>
      </c>
      <c r="K93" s="261" t="s">
        <v>23</v>
      </c>
      <c r="L93" s="225"/>
    </row>
    <row r="94" spans="1:12" ht="15" customHeight="1">
      <c r="A94" s="593" t="s">
        <v>148</v>
      </c>
      <c r="B94" s="593" t="s">
        <v>149</v>
      </c>
      <c r="C94" s="227" t="s">
        <v>150</v>
      </c>
      <c r="D94" s="600" t="s">
        <v>151</v>
      </c>
      <c r="E94" s="601"/>
      <c r="F94" s="602" t="s">
        <v>152</v>
      </c>
      <c r="G94" s="603"/>
      <c r="H94" s="593" t="s">
        <v>153</v>
      </c>
      <c r="I94" s="595" t="s">
        <v>154</v>
      </c>
      <c r="J94" s="227" t="s">
        <v>150</v>
      </c>
      <c r="K94" s="228" t="s">
        <v>151</v>
      </c>
      <c r="L94" s="593" t="s">
        <v>155</v>
      </c>
    </row>
    <row r="95" spans="1:12" ht="15" customHeight="1">
      <c r="A95" s="594"/>
      <c r="B95" s="594"/>
      <c r="C95" s="229" t="s">
        <v>156</v>
      </c>
      <c r="D95" s="597" t="s">
        <v>171</v>
      </c>
      <c r="E95" s="598"/>
      <c r="F95" s="604"/>
      <c r="G95" s="605"/>
      <c r="H95" s="594"/>
      <c r="I95" s="596"/>
      <c r="J95" s="229" t="s">
        <v>156</v>
      </c>
      <c r="K95" s="229" t="s">
        <v>172</v>
      </c>
      <c r="L95" s="594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8.9999999999999998E-4</v>
      </c>
      <c r="E96" s="233"/>
      <c r="F96" s="589" t="s">
        <v>161</v>
      </c>
      <c r="G96" s="590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5.1961524227066324E-4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589" t="s">
        <v>161</v>
      </c>
      <c r="G97" s="590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589" t="s">
        <v>158</v>
      </c>
      <c r="G98" s="590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589"/>
      <c r="G99" s="590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589"/>
      <c r="G100" s="590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589"/>
      <c r="G101" s="590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589"/>
      <c r="G102" s="590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589"/>
      <c r="G103" s="590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589"/>
      <c r="G104" s="590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591" t="str">
        <f>IF(G106=2,"Normal","T-Distibution")</f>
        <v>Normal</v>
      </c>
      <c r="G105" s="592"/>
      <c r="H105" s="243"/>
      <c r="I105" s="245"/>
      <c r="J105" s="246"/>
      <c r="K105" s="234">
        <f>SQRT(SUMSQ(K96:K104))</f>
        <v>5.94418483337567E-4</v>
      </c>
      <c r="L105" s="247" t="str">
        <f>IF(K107="",L97,K107)</f>
        <v>¥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2</v>
      </c>
      <c r="H106" s="249"/>
      <c r="I106" s="253"/>
      <c r="J106" s="246"/>
      <c r="K106" s="254">
        <f>ROUNDUP((K105*G106),5)</f>
        <v>1.1900000000000001E-3</v>
      </c>
      <c r="L106" s="247" t="str">
        <f>IF(K107="",L97,K107)</f>
        <v>¥</v>
      </c>
    </row>
    <row r="107" spans="1:12" ht="15" customHeight="1">
      <c r="C107" s="255"/>
      <c r="D107" s="255"/>
      <c r="E107" s="256"/>
      <c r="F107" s="257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>
        <f>IF(AND(K107&gt;=50,K107&lt;60),2.05, IF(AND(K107&gt;=60,K107&lt;80),2.04, IF(AND(K107&gt;=80,K107&lt;100),2.03, IF(K107=100,2.02,IF(K107&gt;100,2," ")))))</f>
        <v>2</v>
      </c>
      <c r="J107" s="258"/>
      <c r="K107" s="258" t="str">
        <f>IF(K97*2&gt;=K105,(K105^4*3)/K97^4,"")</f>
        <v/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599">
        <f>setm7</f>
        <v>1050</v>
      </c>
      <c r="G108" s="599"/>
      <c r="H108" s="224" t="s">
        <v>23</v>
      </c>
      <c r="I108" s="222" t="s">
        <v>147</v>
      </c>
      <c r="J108" s="222">
        <f>rang</f>
        <v>1500</v>
      </c>
      <c r="K108" s="261" t="s">
        <v>23</v>
      </c>
      <c r="L108" s="225"/>
    </row>
    <row r="109" spans="1:12" ht="15" customHeight="1">
      <c r="A109" s="593" t="s">
        <v>148</v>
      </c>
      <c r="B109" s="593" t="s">
        <v>149</v>
      </c>
      <c r="C109" s="227" t="s">
        <v>150</v>
      </c>
      <c r="D109" s="600" t="s">
        <v>151</v>
      </c>
      <c r="E109" s="601"/>
      <c r="F109" s="602" t="s">
        <v>152</v>
      </c>
      <c r="G109" s="603"/>
      <c r="H109" s="593" t="s">
        <v>153</v>
      </c>
      <c r="I109" s="595" t="s">
        <v>154</v>
      </c>
      <c r="J109" s="227" t="s">
        <v>150</v>
      </c>
      <c r="K109" s="228" t="s">
        <v>151</v>
      </c>
      <c r="L109" s="593" t="s">
        <v>155</v>
      </c>
    </row>
    <row r="110" spans="1:12" ht="15" customHeight="1">
      <c r="A110" s="594"/>
      <c r="B110" s="594"/>
      <c r="C110" s="229" t="s">
        <v>156</v>
      </c>
      <c r="D110" s="597" t="s">
        <v>171</v>
      </c>
      <c r="E110" s="598"/>
      <c r="F110" s="604"/>
      <c r="G110" s="605"/>
      <c r="H110" s="594"/>
      <c r="I110" s="596"/>
      <c r="J110" s="229" t="s">
        <v>156</v>
      </c>
      <c r="K110" s="229" t="s">
        <v>172</v>
      </c>
      <c r="L110" s="594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1.0499999999999999E-3</v>
      </c>
      <c r="E111" s="233"/>
      <c r="F111" s="589" t="s">
        <v>161</v>
      </c>
      <c r="G111" s="590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6.0621778264910702E-4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589" t="s">
        <v>161</v>
      </c>
      <c r="G112" s="590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589" t="s">
        <v>158</v>
      </c>
      <c r="G113" s="590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589"/>
      <c r="G114" s="590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589"/>
      <c r="G115" s="590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589"/>
      <c r="G116" s="590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589"/>
      <c r="G117" s="590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589"/>
      <c r="G118" s="590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589"/>
      <c r="G119" s="590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591" t="str">
        <f>IF(G121=2,"Normal","T-Distibution")</f>
        <v>Normal</v>
      </c>
      <c r="G120" s="592"/>
      <c r="H120" s="243"/>
      <c r="I120" s="245"/>
      <c r="J120" s="246"/>
      <c r="K120" s="234">
        <f>SQRT(SUMSQ(K111:K119))</f>
        <v>6.7144123594945621E-4</v>
      </c>
      <c r="L120" s="247" t="str">
        <f>IF(K122="",L112,K122)</f>
        <v>¥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2</v>
      </c>
      <c r="H121" s="249"/>
      <c r="I121" s="253"/>
      <c r="J121" s="246"/>
      <c r="K121" s="254">
        <f>ROUNDUP((K120*G121),5)</f>
        <v>1.3500000000000001E-3</v>
      </c>
      <c r="L121" s="247" t="str">
        <f>IF(K122="",L112,K122)</f>
        <v>¥</v>
      </c>
    </row>
    <row r="122" spans="1:12" ht="15" customHeight="1">
      <c r="C122" s="255"/>
      <c r="D122" s="255"/>
      <c r="E122" s="256"/>
      <c r="F122" s="257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>
        <f>IF(AND(K122&gt;=50,K122&lt;60),2.05, IF(AND(K122&gt;=60,K122&lt;80),2.04, IF(AND(K122&gt;=80,K122&lt;100),2.03, IF(K122=100,2.02,IF(K122&gt;100,2," ")))))</f>
        <v>2</v>
      </c>
      <c r="J122" s="258"/>
      <c r="K122" s="258" t="str">
        <f>IF(K112*2&gt;=K120,(K120^4*3)/K112^4,"")</f>
        <v/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599">
        <f>setm8</f>
        <v>1200</v>
      </c>
      <c r="G123" s="599"/>
      <c r="H123" s="224" t="s">
        <v>23</v>
      </c>
      <c r="I123" s="222" t="s">
        <v>147</v>
      </c>
      <c r="J123" s="222">
        <f>rang</f>
        <v>1500</v>
      </c>
      <c r="K123" s="261" t="s">
        <v>23</v>
      </c>
      <c r="L123" s="225"/>
    </row>
    <row r="124" spans="1:12" ht="15" customHeight="1">
      <c r="A124" s="593" t="s">
        <v>148</v>
      </c>
      <c r="B124" s="593" t="s">
        <v>149</v>
      </c>
      <c r="C124" s="227" t="s">
        <v>150</v>
      </c>
      <c r="D124" s="600" t="s">
        <v>151</v>
      </c>
      <c r="E124" s="601"/>
      <c r="F124" s="602" t="s">
        <v>152</v>
      </c>
      <c r="G124" s="603"/>
      <c r="H124" s="593" t="s">
        <v>153</v>
      </c>
      <c r="I124" s="595" t="s">
        <v>154</v>
      </c>
      <c r="J124" s="227" t="s">
        <v>150</v>
      </c>
      <c r="K124" s="228" t="s">
        <v>151</v>
      </c>
      <c r="L124" s="593" t="s">
        <v>155</v>
      </c>
    </row>
    <row r="125" spans="1:12" ht="15" customHeight="1">
      <c r="A125" s="594"/>
      <c r="B125" s="594"/>
      <c r="C125" s="229" t="s">
        <v>156</v>
      </c>
      <c r="D125" s="597" t="s">
        <v>171</v>
      </c>
      <c r="E125" s="598"/>
      <c r="F125" s="604"/>
      <c r="G125" s="605"/>
      <c r="H125" s="594"/>
      <c r="I125" s="596"/>
      <c r="J125" s="229" t="s">
        <v>156</v>
      </c>
      <c r="K125" s="229" t="s">
        <v>172</v>
      </c>
      <c r="L125" s="594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1.1999999999999999E-3</v>
      </c>
      <c r="E126" s="233"/>
      <c r="F126" s="589" t="s">
        <v>161</v>
      </c>
      <c r="G126" s="590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6.9282032302755091E-4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589" t="s">
        <v>161</v>
      </c>
      <c r="G127" s="590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589" t="s">
        <v>158</v>
      </c>
      <c r="G128" s="590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589"/>
      <c r="G129" s="590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589"/>
      <c r="G130" s="590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589"/>
      <c r="G131" s="590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589"/>
      <c r="G132" s="590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589"/>
      <c r="G133" s="590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589"/>
      <c r="G134" s="590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591" t="str">
        <f>IF(G136=2,"Normal","T-Distibution")</f>
        <v>Normal</v>
      </c>
      <c r="G135" s="592"/>
      <c r="H135" s="243"/>
      <c r="I135" s="245"/>
      <c r="J135" s="246"/>
      <c r="K135" s="234">
        <f>SQRT(SUMSQ(K126:K134))</f>
        <v>7.5055534994651347E-4</v>
      </c>
      <c r="L135" s="247" t="str">
        <f>IF(K137="",L127,K137)</f>
        <v>¥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2</v>
      </c>
      <c r="H136" s="249"/>
      <c r="I136" s="253"/>
      <c r="J136" s="246"/>
      <c r="K136" s="254">
        <f>ROUNDUP((K135*G136),5)</f>
        <v>1.5100000000000001E-3</v>
      </c>
      <c r="L136" s="247" t="str">
        <f>IF(K137="",L127,K137)</f>
        <v>¥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>
        <f>IF(AND(K137&gt;=50,K137&lt;60),2.05, IF(AND(K137&gt;=60,K137&lt;80),2.04, IF(AND(K137&gt;=80,K137&lt;100),2.03, IF(K137=100,2.02,IF(K137&gt;100,2," ")))))</f>
        <v>2</v>
      </c>
      <c r="J137" s="258"/>
      <c r="K137" s="258" t="str">
        <f>IF(K127*2&gt;=K135,(K135^4*3)/K127^4,"")</f>
        <v/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599">
        <f>setm9</f>
        <v>1350</v>
      </c>
      <c r="G138" s="599"/>
      <c r="H138" s="224" t="s">
        <v>23</v>
      </c>
      <c r="I138" s="222" t="s">
        <v>147</v>
      </c>
      <c r="J138" s="222">
        <f>rang</f>
        <v>1500</v>
      </c>
      <c r="K138" s="261" t="s">
        <v>23</v>
      </c>
      <c r="L138" s="225"/>
    </row>
    <row r="139" spans="1:12" ht="15" customHeight="1">
      <c r="A139" s="593" t="s">
        <v>148</v>
      </c>
      <c r="B139" s="593" t="s">
        <v>149</v>
      </c>
      <c r="C139" s="227" t="s">
        <v>150</v>
      </c>
      <c r="D139" s="600" t="s">
        <v>151</v>
      </c>
      <c r="E139" s="601"/>
      <c r="F139" s="602" t="s">
        <v>152</v>
      </c>
      <c r="G139" s="603"/>
      <c r="H139" s="593" t="s">
        <v>153</v>
      </c>
      <c r="I139" s="595" t="s">
        <v>154</v>
      </c>
      <c r="J139" s="227" t="s">
        <v>150</v>
      </c>
      <c r="K139" s="228" t="s">
        <v>151</v>
      </c>
      <c r="L139" s="593" t="s">
        <v>155</v>
      </c>
    </row>
    <row r="140" spans="1:12" ht="15" customHeight="1">
      <c r="A140" s="594"/>
      <c r="B140" s="594"/>
      <c r="C140" s="229" t="s">
        <v>156</v>
      </c>
      <c r="D140" s="597" t="s">
        <v>171</v>
      </c>
      <c r="E140" s="598"/>
      <c r="F140" s="604"/>
      <c r="G140" s="605"/>
      <c r="H140" s="594"/>
      <c r="I140" s="596"/>
      <c r="J140" s="229" t="s">
        <v>156</v>
      </c>
      <c r="K140" s="229" t="s">
        <v>172</v>
      </c>
      <c r="L140" s="594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1.3499999999999999E-3</v>
      </c>
      <c r="E141" s="233"/>
      <c r="F141" s="589" t="s">
        <v>161</v>
      </c>
      <c r="G141" s="590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7.794228634059947E-4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589" t="s">
        <v>161</v>
      </c>
      <c r="G142" s="590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589" t="s">
        <v>158</v>
      </c>
      <c r="G143" s="590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589"/>
      <c r="G144" s="590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589"/>
      <c r="G145" s="590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589"/>
      <c r="G146" s="590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589"/>
      <c r="G147" s="590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589"/>
      <c r="G148" s="590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589"/>
      <c r="G149" s="590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591" t="str">
        <f>IF(G151=2,"Normal","T-Distibution")</f>
        <v>Normal</v>
      </c>
      <c r="G150" s="592"/>
      <c r="H150" s="243"/>
      <c r="I150" s="245"/>
      <c r="J150" s="246"/>
      <c r="K150" s="234">
        <f>SQRT(SUMSQ(K141:K149))</f>
        <v>8.3116384265277882E-4</v>
      </c>
      <c r="L150" s="247" t="str">
        <f>IF(K152="",L142,K152)</f>
        <v>¥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2</v>
      </c>
      <c r="H151" s="249"/>
      <c r="I151" s="253"/>
      <c r="J151" s="246"/>
      <c r="K151" s="254">
        <f>ROUNDUP((K150*G151),5)</f>
        <v>1.67E-3</v>
      </c>
      <c r="L151" s="247" t="str">
        <f>IF(K152="",L142,K152)</f>
        <v>¥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>
        <f>IF(AND(K152&gt;=50,K152&lt;60),2.05, IF(AND(K152&gt;=60,K152&lt;80),2.04, IF(AND(K152&gt;=80,K152&lt;100),2.03, IF(K152=100,2.02,IF(K152&gt;100,2," ")))))</f>
        <v>2</v>
      </c>
      <c r="J152" s="258"/>
      <c r="K152" s="258" t="str">
        <f>IF(K142*2&gt;=K150,(K150^4*3)/K142^4,"")</f>
        <v/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599">
        <f>setm10</f>
        <v>1500</v>
      </c>
      <c r="G153" s="599"/>
      <c r="H153" s="224" t="s">
        <v>23</v>
      </c>
      <c r="I153" s="222" t="s">
        <v>147</v>
      </c>
      <c r="J153" s="222">
        <f>rang</f>
        <v>1500</v>
      </c>
      <c r="K153" s="261" t="s">
        <v>23</v>
      </c>
      <c r="L153" s="225"/>
    </row>
    <row r="154" spans="1:12" ht="15" customHeight="1">
      <c r="A154" s="593" t="s">
        <v>148</v>
      </c>
      <c r="B154" s="593" t="s">
        <v>149</v>
      </c>
      <c r="C154" s="227" t="s">
        <v>150</v>
      </c>
      <c r="D154" s="600" t="s">
        <v>151</v>
      </c>
      <c r="E154" s="601"/>
      <c r="F154" s="602" t="s">
        <v>152</v>
      </c>
      <c r="G154" s="603"/>
      <c r="H154" s="593" t="s">
        <v>153</v>
      </c>
      <c r="I154" s="595" t="s">
        <v>154</v>
      </c>
      <c r="J154" s="227" t="s">
        <v>150</v>
      </c>
      <c r="K154" s="228" t="s">
        <v>151</v>
      </c>
      <c r="L154" s="593" t="s">
        <v>155</v>
      </c>
    </row>
    <row r="155" spans="1:12" ht="15" customHeight="1">
      <c r="A155" s="594"/>
      <c r="B155" s="594"/>
      <c r="C155" s="229" t="s">
        <v>156</v>
      </c>
      <c r="D155" s="597" t="s">
        <v>171</v>
      </c>
      <c r="E155" s="598"/>
      <c r="F155" s="604"/>
      <c r="G155" s="605"/>
      <c r="H155" s="594"/>
      <c r="I155" s="596"/>
      <c r="J155" s="229" t="s">
        <v>156</v>
      </c>
      <c r="K155" s="229" t="s">
        <v>172</v>
      </c>
      <c r="L155" s="594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1.5E-3</v>
      </c>
      <c r="E156" s="233"/>
      <c r="F156" s="589" t="s">
        <v>161</v>
      </c>
      <c r="G156" s="590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8.660254037844387E-4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589" t="s">
        <v>161</v>
      </c>
      <c r="G157" s="590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589" t="s">
        <v>158</v>
      </c>
      <c r="G158" s="590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589"/>
      <c r="G159" s="590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589"/>
      <c r="G160" s="590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589"/>
      <c r="G161" s="590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589"/>
      <c r="G162" s="590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589"/>
      <c r="G163" s="590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589"/>
      <c r="G164" s="590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591" t="str">
        <f>IF(G166=2,"Normal","T-Distibution")</f>
        <v>Normal</v>
      </c>
      <c r="G165" s="592"/>
      <c r="H165" s="243"/>
      <c r="I165" s="245"/>
      <c r="J165" s="246"/>
      <c r="K165" s="234">
        <f>SQRT(SUMSQ(K156:K164))</f>
        <v>9.1287092917527696E-4</v>
      </c>
      <c r="L165" s="247" t="str">
        <f>IF(K167="",L157,K167)</f>
        <v>¥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</v>
      </c>
      <c r="H166" s="249"/>
      <c r="I166" s="253"/>
      <c r="J166" s="246"/>
      <c r="K166" s="254">
        <f>ROUNDUP((K165*G166),5)</f>
        <v>1.83E-3</v>
      </c>
      <c r="L166" s="247" t="str">
        <f>IF(K167="",L157,K167)</f>
        <v>¥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>
        <f>IF(AND(K167&gt;=50,K167&lt;60),2.05, IF(AND(K167&gt;=60,K167&lt;80),2.04, IF(AND(K167&gt;=80,K167&lt;100),2.03, IF(K167=100,2.02,IF(K167&gt;100,2," ")))))</f>
        <v>2</v>
      </c>
      <c r="J167" s="258"/>
      <c r="K167" s="258" t="str">
        <f>IF(K157*2&gt;=K165,(K165^4*3)/K157^4,"")</f>
        <v/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16" t="s">
        <v>12</v>
      </c>
      <c r="C5" s="617"/>
      <c r="D5" s="617"/>
      <c r="E5" s="618"/>
      <c r="G5" s="616" t="s">
        <v>13</v>
      </c>
      <c r="H5" s="617"/>
      <c r="I5" s="617"/>
      <c r="J5" s="618"/>
      <c r="L5" s="616" t="s">
        <v>14</v>
      </c>
      <c r="M5" s="617"/>
      <c r="N5" s="617"/>
      <c r="O5" s="618"/>
      <c r="Q5" s="616" t="s">
        <v>15</v>
      </c>
      <c r="R5" s="617"/>
      <c r="S5" s="617"/>
      <c r="T5" s="617"/>
      <c r="U5" s="618"/>
    </row>
    <row r="6" spans="2:22" ht="26.25">
      <c r="B6" s="613" t="s">
        <v>16</v>
      </c>
      <c r="C6" s="614"/>
      <c r="D6" s="614"/>
      <c r="E6" s="615"/>
      <c r="G6" s="613" t="s">
        <v>17</v>
      </c>
      <c r="H6" s="614"/>
      <c r="I6" s="614"/>
      <c r="J6" s="615"/>
      <c r="L6" s="613" t="s">
        <v>18</v>
      </c>
      <c r="M6" s="614"/>
      <c r="N6" s="614"/>
      <c r="O6" s="615"/>
      <c r="Q6" s="613" t="s">
        <v>19</v>
      </c>
      <c r="R6" s="614"/>
      <c r="S6" s="614"/>
      <c r="T6" s="614"/>
      <c r="U6" s="615"/>
    </row>
    <row r="7" spans="2:22" ht="26.25">
      <c r="B7" s="607" t="s">
        <v>20</v>
      </c>
      <c r="C7" s="608"/>
      <c r="D7" s="608"/>
      <c r="E7" s="609"/>
      <c r="G7" s="607" t="s">
        <v>20</v>
      </c>
      <c r="H7" s="608"/>
      <c r="I7" s="608"/>
      <c r="J7" s="609"/>
      <c r="L7" s="607" t="s">
        <v>20</v>
      </c>
      <c r="M7" s="608"/>
      <c r="N7" s="608"/>
      <c r="O7" s="609"/>
      <c r="Q7" s="7" t="s">
        <v>21</v>
      </c>
      <c r="R7" s="607" t="s">
        <v>20</v>
      </c>
      <c r="S7" s="608"/>
      <c r="T7" s="608"/>
      <c r="U7" s="609"/>
    </row>
    <row r="8" spans="2:22" ht="26.25">
      <c r="B8" s="610">
        <v>42550</v>
      </c>
      <c r="C8" s="611"/>
      <c r="D8" s="611"/>
      <c r="E8" s="612"/>
      <c r="G8" s="610">
        <v>42550</v>
      </c>
      <c r="H8" s="611"/>
      <c r="I8" s="611"/>
      <c r="J8" s="612"/>
      <c r="L8" s="610">
        <v>42601</v>
      </c>
      <c r="M8" s="611"/>
      <c r="N8" s="611"/>
      <c r="O8" s="612"/>
      <c r="Q8" s="8"/>
      <c r="R8" s="610">
        <v>42706</v>
      </c>
      <c r="S8" s="611"/>
      <c r="T8" s="611"/>
      <c r="U8" s="612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2017-03-13T02:51:30Z</cp:lastPrinted>
  <dcterms:created xsi:type="dcterms:W3CDTF">2015-10-01T03:03:03Z</dcterms:created>
  <dcterms:modified xsi:type="dcterms:W3CDTF">2017-10-26T08:00:06Z</dcterms:modified>
</cp:coreProperties>
</file>