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X8" i="14" l="1"/>
  <c r="X9" i="14"/>
  <c r="X10" i="14"/>
  <c r="X11" i="14"/>
  <c r="X12" i="14"/>
  <c r="X13" i="14"/>
  <c r="X14" i="14"/>
  <c r="X15" i="14"/>
  <c r="X16" i="14"/>
  <c r="W8" i="14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H8" i="14"/>
  <c r="H9" i="14"/>
  <c r="H10" i="14"/>
  <c r="H11" i="14"/>
  <c r="H12" i="14"/>
  <c r="H13" i="14"/>
  <c r="H14" i="14"/>
  <c r="H15" i="14"/>
  <c r="H16" i="14"/>
  <c r="H7" i="14"/>
  <c r="C20" i="14"/>
  <c r="C19" i="14"/>
  <c r="C18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AB27" i="9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X20" i="9"/>
  <c r="C21" i="14" l="1"/>
  <c r="J8" i="13" l="1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T15" i="14" s="1"/>
  <c r="L14" i="14"/>
  <c r="M14" i="14" s="1"/>
  <c r="J24" i="12"/>
  <c r="A34" i="9"/>
  <c r="L13" i="14"/>
  <c r="M13" i="14" s="1"/>
  <c r="J23" i="12"/>
  <c r="A33" i="9"/>
  <c r="B13" i="14" s="1"/>
  <c r="I13" i="14" s="1"/>
  <c r="T13" i="14" s="1"/>
  <c r="L12" i="14"/>
  <c r="M12" i="14" s="1"/>
  <c r="J22" i="12"/>
  <c r="A32" i="9"/>
  <c r="J21" i="12"/>
  <c r="A31" i="9"/>
  <c r="B11" i="14" s="1"/>
  <c r="I11" i="14" s="1"/>
  <c r="T11" i="14" s="1"/>
  <c r="J20" i="12"/>
  <c r="A30" i="9"/>
  <c r="J19" i="12"/>
  <c r="A29" i="9"/>
  <c r="B9" i="14" s="1"/>
  <c r="I9" i="14" s="1"/>
  <c r="T9" i="14" s="1"/>
  <c r="J18" i="12"/>
  <c r="A28" i="9"/>
  <c r="D23" i="15"/>
  <c r="K23" i="15" s="1"/>
  <c r="A27" i="9"/>
  <c r="A25" i="9"/>
  <c r="I10" i="12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T8" i="14" s="1"/>
  <c r="B10" i="14"/>
  <c r="I10" i="14" s="1"/>
  <c r="T10" i="14" s="1"/>
  <c r="B12" i="14"/>
  <c r="I12" i="14" s="1"/>
  <c r="T12" i="14" s="1"/>
  <c r="B14" i="14"/>
  <c r="I14" i="14" s="1"/>
  <c r="T14" i="14" s="1"/>
  <c r="B16" i="14"/>
  <c r="I16" i="14" s="1"/>
  <c r="T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T7" i="14" s="1"/>
  <c r="K34" i="12"/>
  <c r="J8" i="14"/>
  <c r="K30" i="12"/>
  <c r="K31" i="12"/>
  <c r="K32" i="12"/>
  <c r="L7" i="14"/>
  <c r="M7" i="14" s="1"/>
  <c r="U7" i="14" s="1"/>
  <c r="D143" i="15"/>
  <c r="K143" i="15" s="1"/>
  <c r="K150" i="15" s="1"/>
  <c r="D113" i="15"/>
  <c r="K113" i="15" s="1"/>
  <c r="D83" i="15"/>
  <c r="K83" i="15" s="1"/>
  <c r="K90" i="15" s="1"/>
  <c r="D68" i="15"/>
  <c r="K68" i="15" s="1"/>
  <c r="D38" i="15"/>
  <c r="K38" i="15" s="1"/>
  <c r="D158" i="15"/>
  <c r="K158" i="15" s="1"/>
  <c r="K165" i="15" s="1"/>
  <c r="D128" i="15"/>
  <c r="K128" i="15" s="1"/>
  <c r="D98" i="15"/>
  <c r="K98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60" i="15" l="1"/>
  <c r="K135" i="15"/>
  <c r="K45" i="15"/>
  <c r="K105" i="15"/>
  <c r="K120" i="15"/>
  <c r="K122" i="15" s="1"/>
  <c r="K75" i="15"/>
  <c r="D6" i="15"/>
  <c r="K6" i="15" s="1"/>
  <c r="K15" i="15" s="1"/>
  <c r="K17" i="15" s="1"/>
  <c r="F16" i="12"/>
  <c r="F3" i="15"/>
  <c r="N16" i="12"/>
  <c r="H32" i="15"/>
  <c r="L30" i="15"/>
  <c r="G32" i="15"/>
  <c r="F32" i="15"/>
  <c r="I32" i="15"/>
  <c r="L31" i="15"/>
  <c r="K8" i="14"/>
  <c r="J9" i="14"/>
  <c r="K62" i="15"/>
  <c r="K137" i="15"/>
  <c r="K47" i="15"/>
  <c r="K92" i="15"/>
  <c r="K152" i="15"/>
  <c r="K107" i="15"/>
  <c r="K167" i="15"/>
  <c r="K77" i="15"/>
  <c r="U11" i="14"/>
  <c r="U10" i="14"/>
  <c r="U9" i="14"/>
  <c r="U8" i="14"/>
  <c r="X7" i="14"/>
  <c r="G31" i="15" l="1"/>
  <c r="F30" i="15" s="1"/>
  <c r="K9" i="14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G76" i="15" l="1"/>
  <c r="K31" i="15"/>
  <c r="G136" i="15"/>
  <c r="K136" i="15" s="1"/>
  <c r="G91" i="15"/>
  <c r="F90" i="15" s="1"/>
  <c r="G106" i="15"/>
  <c r="G166" i="15"/>
  <c r="F165" i="15" s="1"/>
  <c r="G61" i="15"/>
  <c r="F60" i="15" s="1"/>
  <c r="G46" i="15"/>
  <c r="K46" i="15" s="1"/>
  <c r="G151" i="15"/>
  <c r="G16" i="15"/>
  <c r="AJ19" i="12" s="1"/>
  <c r="G121" i="15"/>
  <c r="F120" i="15" s="1"/>
  <c r="K10" i="14"/>
  <c r="J11" i="14"/>
  <c r="F75" i="15"/>
  <c r="K76" i="15"/>
  <c r="F135" i="15"/>
  <c r="F105" i="15"/>
  <c r="K106" i="15"/>
  <c r="K166" i="15"/>
  <c r="F150" i="15"/>
  <c r="K151" i="15"/>
  <c r="AJ21" i="12"/>
  <c r="AJ25" i="12"/>
  <c r="AJ20" i="12"/>
  <c r="AJ24" i="12"/>
  <c r="AJ26" i="12"/>
  <c r="AJ17" i="12"/>
  <c r="AJ18" i="12"/>
  <c r="F15" i="15"/>
  <c r="K16" i="15"/>
  <c r="Z16" i="12" s="1"/>
  <c r="R16" i="12" s="1"/>
  <c r="K121" i="15" l="1"/>
  <c r="K61" i="15"/>
  <c r="Z19" i="12" s="1"/>
  <c r="R19" i="12" s="1"/>
  <c r="AJ23" i="12"/>
  <c r="AJ22" i="12"/>
  <c r="F45" i="15"/>
  <c r="K91" i="15"/>
  <c r="Z26" i="12" s="1"/>
  <c r="R26" i="12" s="1"/>
  <c r="K11" i="14"/>
  <c r="J12" i="14"/>
  <c r="Z17" i="12"/>
  <c r="R17" i="12" s="1"/>
  <c r="Z22" i="12"/>
  <c r="R22" i="12" s="1"/>
  <c r="Z18" i="12"/>
  <c r="R18" i="12" s="1"/>
  <c r="Z23" i="12"/>
  <c r="R23" i="12" s="1"/>
  <c r="Z24" i="12"/>
  <c r="R24" i="12" s="1"/>
  <c r="Z20" i="12"/>
  <c r="R20" i="12" s="1"/>
  <c r="Z25" i="12"/>
  <c r="R25" i="12" s="1"/>
  <c r="Z21" i="12" l="1"/>
  <c r="R21" i="12" s="1"/>
  <c r="K12" i="14"/>
  <c r="J13" i="14"/>
  <c r="K13" i="14" l="1"/>
  <c r="J14" i="14"/>
  <c r="K14" i="14" l="1"/>
  <c r="J15" i="14"/>
  <c r="K15" i="14" l="1"/>
  <c r="J16" i="14"/>
  <c r="K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<sst xmlns="http://schemas.openxmlformats.org/spreadsheetml/2006/main" count="799" uniqueCount="205">
  <si>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</si>
  <si>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</si>
  <si>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</si>
  <si>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</si>
  <si>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</si>
  <si>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</si>
  <si>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</si>
  <si>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</si>
  <si>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</si>
  <si>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</si>
  <si>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</si>
  <si>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</si>
  <si>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</si>
  <si>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</si>
  <si>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</si>
  <si>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</si>
  <si>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</si>
  <si>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</si>
  <si>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</si>
  <si>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</si>
  <si>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</si>
  <si>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</si>
  <si>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</si>
  <si>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</si>
  <si>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</si>
  <si>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</si>
  <si>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</si>
  <si>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</si>
  <si>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</si>
  <si>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</si>
  <si>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</si>
  <si>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</si>
  <si>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</si>
  <si>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</si>
  <si>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</si>
  <si>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</si>
  <si>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</si>
  <si>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</si>
  <si>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</si>
  <si>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</si>
  <si>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</si>
  <si>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</si>
  <si>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</si>
  <si>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</si>
  <si>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</si>
  <si>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</si>
  <si>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</si>
  <si>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</si>
  <si>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</si>
  <si>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</si>
  <si>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</si>
  <si>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</si>
  <si>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</si>
  <si>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</si>
  <si>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</si>
  <si>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</si>
  <si>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</si>
  <si>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</si>
  <si>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</si>
  <si>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</si>
  <si>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</si>
  <si>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</si>
  <si>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</si>
  <si>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</si>
  <si>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</si>
  <si>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</si>
  <si>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</si>
  <si>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</si>
  <si>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</si>
  <si>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</si>
  <si>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</si>
  <si>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</si>
  <si>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</si>
  <si>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</si>
  <si>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</si>
  <si>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</si>
  <si>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</si>
  <si>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</si>
  <si>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</si>
  <si>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</si>
  <si>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</si>
  <si>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</si>
  <si>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</si>
  <si>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</si>
  <si>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</si>
  <si>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</si>
  <si>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</si>
  <si>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</si>
  <si>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</si>
  <si>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</si>
  <si>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</si>
  <si>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</si>
  <si>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</si>
  <si>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</si>
  <si>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</si>
  <si>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</si>
  <si>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</si>
  <si>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</si>
  <si>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</si>
  <si>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</si>
  <si>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</si>
  <si>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</si>
  <si>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</si>
  <si>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</si>
  <si>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</si>
  <si>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</si>
  <si>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</si>
  <si>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</si>
  <si>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</si>
  <si>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</si>
  <si>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</si>
  <si>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</si>
  <si>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</si>
  <si>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</si>
  <si>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</si>
  <si>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</si>
  <si>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</si>
  <si>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</si>
  <si>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</si>
  <si>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</si>
  <si>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</si>
  <si>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</si>
  <si>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</si>
  <si>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</si>
  <si>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</si>
  <si>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</si>
  <si>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</si>
  <si>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</si>
  <si>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</si>
  <si>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</si>
  <si>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</si>
  <si>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</si>
  <si>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</si>
  <si>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</si>
  <si>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</si>
  <si>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</si>
  <si>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</si>
  <si>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</si>
  <si>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</si>
  <si>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</si>
  <si>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</si>
  <si>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</si>
  <si>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</si>
  <si>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</si>
  <si>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</si>
  <si>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</si>
  <si>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</si>
  <si>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</si>
  <si>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</si>
  <si>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</si>
  <si>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</si>
  <si>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</si>
  <si>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</si>
  <si>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</si>
  <si>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</si>
  <si>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</si>
  <si>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</si>
  <si>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</si>
  <si>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</si>
  <si>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</si>
  <si>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</si>
  <si>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</si>
  <si>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</si>
  <si>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</si>
  <si>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</si>
  <si>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</si>
  <si>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</si>
  <si>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</si>
  <si>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</si>
  <si>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</si>
  <si>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</si>
  <si>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</si>
  <si>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</si>
  <si>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</si>
  <si>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</si>
  <si>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</si>
  <si>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</si>
  <si>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</si>
  <si>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0 - 200 g</t>
  </si>
  <si>
    <t>Adress</t>
  </si>
  <si>
    <t>Reference Standard :</t>
  </si>
  <si>
    <t>Calibration Procedure No.:</t>
  </si>
  <si>
    <t>SP-SM-026</t>
  </si>
  <si>
    <t>Standard Weight Set</t>
  </si>
  <si>
    <t>Class F1</t>
  </si>
  <si>
    <t>SS6K3324-16</t>
  </si>
  <si>
    <t>22 Nov 2017</t>
  </si>
  <si>
    <t>CM160770</t>
  </si>
  <si>
    <t>Calibration Officer</t>
  </si>
  <si>
    <t>Mr.Nirut  Loha</t>
  </si>
  <si>
    <t>Mr.Pakapon  Nammontree</t>
  </si>
  <si>
    <t>Mr.Prayoon   Topart</t>
  </si>
  <si>
    <t>Mr.Santi  Thonghlor</t>
  </si>
  <si>
    <t>Mr.Werayut  Jampol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</si>
  <si>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</si>
  <si>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</si>
  <si>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</si>
  <si>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</si>
  <si>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</si>
  <si>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</si>
  <si>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vertAlign val="subscript"/>
        <sz val="8"/>
        <rFont val="Arial"/>
        <family val="2"/>
      </rPr>
      <t>i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</si>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</sst>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9" formatCode="0.0000"/>
    <numFmt numFmtId="170" formatCode="0.00000"/>
    <numFmt numFmtId="0" formatCode="[$-409]d\-mmm\-yyyy;@"/>
    <numFmt numFmtId="172" formatCode="0.000"/>
    <numFmt numFmtId="173" formatCode="dd\ mmmm\ yyyy"/>
    <numFmt numFmtId="174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85" formatCode="#,##0.00_ ;\-#,##0.00\ "/>
  </numFmts>
  <fonts count="10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theme="4" tint="-0.499984740745262"/>
      <name val="Arial"/>
      <family val="2"/>
    </font>
    <font>
      <sz val="9"/>
      <color theme="8" tint="-0.499984740745262"/>
      <name val="Arial"/>
      <family val="2"/>
    </font>
    <font>
      <vertAlign val="subscript"/>
      <sz val="9"/>
      <color theme="1"/>
      <name val="Arial"/>
      <family val="2"/>
    </font>
    <font>
      <vertAlign val="subscript"/>
      <sz val="8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3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2" fontId="86" fillId="0" borderId="10" xfId="5" applyNumberFormat="1" applyFont="1" applyBorder="1" applyAlignment="1">
      <alignment horizontal="center" vertical="center"/>
    </xf>
    <xf numFmtId="174" fontId="86" fillId="0" borderId="10" xfId="5" applyNumberFormat="1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64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19" borderId="0" xfId="19" applyFont="1" applyFill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7" fillId="0" borderId="3" xfId="0" applyFont="1" applyFill="1" applyBorder="1" applyAlignment="1" applyProtection="1">
      <protection locked="0"/>
    </xf>
    <xf numFmtId="0" fontId="27" fillId="0" borderId="3" xfId="0" applyFont="1" applyFill="1" applyBorder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19" borderId="0" xfId="0" applyFont="1" applyFill="1" applyAlignment="1" applyProtection="1">
      <protection locked="0"/>
    </xf>
    <xf numFmtId="0" fontId="28" fillId="0" borderId="0" xfId="0" applyFont="1" applyBorder="1" applyAlignment="1" applyProtection="1">
      <alignment horizontal="center"/>
      <protection locked="0"/>
    </xf>
    <xf numFmtId="0" fontId="26" fillId="19" borderId="0" xfId="0" applyFont="1" applyFill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8" fillId="0" borderId="12" xfId="0" applyFont="1" applyBorder="1" applyAlignment="1" applyProtection="1">
      <alignment horizontal="center"/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7" fillId="0" borderId="0" xfId="0" applyFont="1" applyFill="1" applyAlignment="1"/>
    <xf numFmtId="0" fontId="28" fillId="0" borderId="14" xfId="10" applyFont="1" applyBorder="1" applyAlignment="1">
      <alignment vertical="center"/>
    </xf>
    <xf numFmtId="0" fontId="6" fillId="0" borderId="0" xfId="0" applyNumberFormat="1" applyFont="1" applyBorder="1" applyAlignment="1">
      <alignment vertical="center" shrinkToFit="1"/>
    </xf>
    <xf numFmtId="0" fontId="64" fillId="0" borderId="0" xfId="10" applyNumberFormat="1" applyFont="1" applyAlignment="1">
      <alignment vertical="center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left"/>
      <protection locked="0"/>
    </xf>
    <xf numFmtId="0" fontId="27" fillId="14" borderId="3" xfId="0" applyFont="1" applyFill="1" applyBorder="1" applyAlignment="1" applyProtection="1">
      <alignment horizontal="left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19" borderId="14" xfId="19" applyNumberFormat="1" applyFont="1" applyFill="1" applyBorder="1" applyAlignment="1" applyProtection="1">
      <alignment horizontal="left"/>
      <protection locked="0"/>
    </xf>
    <xf numFmtId="0" fontId="27" fillId="19" borderId="14" xfId="19" applyFont="1" applyFill="1" applyBorder="1" applyAlignment="1" applyProtection="1">
      <alignment horizontal="center"/>
      <protection locked="0"/>
    </xf>
    <xf numFmtId="0" fontId="27" fillId="19" borderId="14" xfId="0" applyFont="1" applyFill="1" applyBorder="1" applyAlignment="1" applyProtection="1">
      <alignment horizontal="left"/>
      <protection locked="0"/>
    </xf>
    <xf numFmtId="0" fontId="26" fillId="19" borderId="14" xfId="0" applyFont="1" applyFill="1" applyBorder="1" applyAlignment="1" applyProtection="1">
      <alignment horizontal="left"/>
      <protection locked="0"/>
    </xf>
    <xf numFmtId="0" fontId="24" fillId="0" borderId="0" xfId="0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19" borderId="12" xfId="19" applyFont="1" applyFill="1" applyBorder="1" applyAlignment="1" applyProtection="1">
      <alignment horizontal="center"/>
      <protection locked="0"/>
    </xf>
    <xf numFmtId="174" fontId="24" fillId="0" borderId="0" xfId="0" applyNumberFormat="1" applyFont="1" applyFill="1" applyBorder="1" applyAlignment="1">
      <alignment horizontal="center" vertical="center"/>
    </xf>
    <xf numFmtId="0" fontId="27" fillId="19" borderId="14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center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shrinkToFit="1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172" fontId="6" fillId="0" borderId="8" xfId="5" applyNumberFormat="1" applyFont="1" applyBorder="1" applyAlignment="1" applyProtection="1">
      <alignment horizontal="center" vertical="center"/>
      <protection locked="0"/>
    </xf>
    <xf numFmtId="172" fontId="6" fillId="0" borderId="14" xfId="5" applyNumberFormat="1" applyFont="1" applyBorder="1" applyAlignment="1" applyProtection="1">
      <alignment horizontal="center" vertical="center"/>
      <protection locked="0"/>
    </xf>
    <xf numFmtId="172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2" fontId="6" fillId="0" borderId="6" xfId="5" applyNumberFormat="1" applyFont="1" applyBorder="1" applyAlignment="1" applyProtection="1">
      <alignment horizontal="center" vertical="center"/>
      <protection locked="0"/>
    </xf>
    <xf numFmtId="172" fontId="6" fillId="0" borderId="0" xfId="5" applyNumberFormat="1" applyFont="1" applyBorder="1" applyAlignment="1" applyProtection="1">
      <alignment horizontal="center" vertical="center"/>
      <protection locked="0"/>
    </xf>
    <xf numFmtId="17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172" fontId="6" fillId="0" borderId="2" xfId="5" applyNumberFormat="1" applyFont="1" applyBorder="1" applyAlignment="1" applyProtection="1">
      <alignment horizontal="center" vertical="center"/>
      <protection locked="0"/>
    </xf>
    <xf numFmtId="172" fontId="6" fillId="0" borderId="3" xfId="5" applyNumberFormat="1" applyFont="1" applyBorder="1" applyAlignment="1" applyProtection="1">
      <alignment horizontal="center" vertical="center"/>
      <protection locked="0"/>
    </xf>
    <xf numFmtId="17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172" fontId="88" fillId="19" borderId="6" xfId="0" applyNumberFormat="1" applyFont="1" applyFill="1" applyBorder="1" applyAlignment="1" applyProtection="1">
      <alignment horizontal="center" vertical="center"/>
      <protection locked="0"/>
    </xf>
    <xf numFmtId="172" fontId="88" fillId="19" borderId="0" xfId="0" applyNumberFormat="1" applyFont="1" applyFill="1" applyBorder="1" applyAlignment="1" applyProtection="1">
      <alignment horizontal="center" vertical="center"/>
      <protection locked="0"/>
    </xf>
    <xf numFmtId="172" fontId="88" fillId="19" borderId="7" xfId="0" applyNumberFormat="1" applyFont="1" applyFill="1" applyBorder="1" applyAlignment="1" applyProtection="1">
      <alignment horizontal="center" vertical="center"/>
      <protection locked="0"/>
    </xf>
    <xf numFmtId="172" fontId="87" fillId="0" borderId="10" xfId="0" applyNumberFormat="1" applyFont="1" applyFill="1" applyBorder="1" applyAlignment="1" applyProtection="1">
      <alignment horizontal="center" vertical="center"/>
    </xf>
    <xf numFmtId="172" fontId="88" fillId="19" borderId="11" xfId="0" applyNumberFormat="1" applyFont="1" applyFill="1" applyBorder="1" applyAlignment="1" applyProtection="1">
      <alignment horizontal="center" vertical="center"/>
      <protection locked="0"/>
    </xf>
    <xf numFmtId="172" fontId="88" fillId="19" borderId="12" xfId="0" applyNumberFormat="1" applyFont="1" applyFill="1" applyBorder="1" applyAlignment="1" applyProtection="1">
      <alignment horizontal="center" vertical="center"/>
      <protection locked="0"/>
    </xf>
    <xf numFmtId="172" fontId="88" fillId="19" borderId="13" xfId="0" applyNumberFormat="1" applyFont="1" applyFill="1" applyBorder="1" applyAlignment="1" applyProtection="1">
      <alignment horizontal="center" vertical="center"/>
      <protection locked="0"/>
    </xf>
    <xf numFmtId="0" fontId="87" fillId="21" borderId="2" xfId="0" applyFont="1" applyFill="1" applyBorder="1" applyAlignment="1">
      <alignment horizontal="center" vertical="center"/>
    </xf>
    <xf numFmtId="0" fontId="87" fillId="21" borderId="3" xfId="0" applyFont="1" applyFill="1" applyBorder="1" applyAlignment="1">
      <alignment horizontal="center" vertical="center"/>
    </xf>
    <xf numFmtId="0" fontId="87" fillId="21" borderId="4" xfId="0" applyFont="1" applyFill="1" applyBorder="1" applyAlignment="1">
      <alignment horizontal="center" vertical="center"/>
    </xf>
    <xf numFmtId="0" fontId="87" fillId="21" borderId="11" xfId="0" applyFont="1" applyFill="1" applyBorder="1" applyAlignment="1">
      <alignment horizontal="center" vertical="center"/>
    </xf>
    <xf numFmtId="0" fontId="87" fillId="21" borderId="12" xfId="0" applyFont="1" applyFill="1" applyBorder="1" applyAlignment="1">
      <alignment horizontal="center" vertical="center"/>
    </xf>
    <xf numFmtId="0" fontId="87" fillId="21" borderId="13" xfId="0" applyFont="1" applyFill="1" applyBorder="1" applyAlignment="1">
      <alignment horizontal="center" vertical="center"/>
    </xf>
    <xf numFmtId="0" fontId="87" fillId="21" borderId="10" xfId="0" applyFont="1" applyFill="1" applyBorder="1" applyAlignment="1">
      <alignment horizontal="center" vertical="center"/>
    </xf>
    <xf numFmtId="1" fontId="87" fillId="22" borderId="6" xfId="0" applyNumberFormat="1" applyFont="1" applyFill="1" applyBorder="1" applyAlignment="1">
      <alignment horizontal="center" vertical="center"/>
    </xf>
    <xf numFmtId="1" fontId="87" fillId="22" borderId="0" xfId="0" applyNumberFormat="1" applyFont="1" applyFill="1" applyBorder="1" applyAlignment="1">
      <alignment horizontal="center" vertical="center"/>
    </xf>
    <xf numFmtId="1" fontId="87" fillId="22" borderId="7" xfId="0" applyNumberFormat="1" applyFont="1" applyFill="1" applyBorder="1" applyAlignment="1">
      <alignment horizontal="center" vertical="center"/>
    </xf>
    <xf numFmtId="1" fontId="87" fillId="22" borderId="8" xfId="0" applyNumberFormat="1" applyFont="1" applyFill="1" applyBorder="1" applyAlignment="1">
      <alignment horizontal="center" vertical="center"/>
    </xf>
    <xf numFmtId="1" fontId="87" fillId="22" borderId="14" xfId="0" applyNumberFormat="1" applyFont="1" applyFill="1" applyBorder="1" applyAlignment="1">
      <alignment horizontal="center" vertical="center"/>
    </xf>
    <xf numFmtId="1" fontId="87" fillId="22" borderId="9" xfId="0" applyNumberFormat="1" applyFont="1" applyFill="1" applyBorder="1" applyAlignment="1">
      <alignment horizontal="center" vertical="center"/>
    </xf>
    <xf numFmtId="172" fontId="88" fillId="19" borderId="2" xfId="0" applyNumberFormat="1" applyFont="1" applyFill="1" applyBorder="1" applyAlignment="1" applyProtection="1">
      <alignment horizontal="center" vertical="center"/>
      <protection locked="0"/>
    </xf>
    <xf numFmtId="172" fontId="88" fillId="19" borderId="3" xfId="0" applyNumberFormat="1" applyFont="1" applyFill="1" applyBorder="1" applyAlignment="1" applyProtection="1">
      <alignment horizontal="center" vertical="center"/>
      <protection locked="0"/>
    </xf>
    <xf numFmtId="172" fontId="88" fillId="19" borderId="8" xfId="0" applyNumberFormat="1" applyFont="1" applyFill="1" applyBorder="1" applyAlignment="1" applyProtection="1">
      <alignment horizontal="center" vertical="center"/>
      <protection locked="0"/>
    </xf>
    <xf numFmtId="172" fontId="88" fillId="19" borderId="14" xfId="0" applyNumberFormat="1" applyFont="1" applyFill="1" applyBorder="1" applyAlignment="1" applyProtection="1">
      <alignment horizontal="center" vertical="center"/>
      <protection locked="0"/>
    </xf>
    <xf numFmtId="0" fontId="87" fillId="22" borderId="2" xfId="0" applyFont="1" applyFill="1" applyBorder="1" applyAlignment="1">
      <alignment horizontal="center" vertical="center"/>
    </xf>
    <xf numFmtId="0" fontId="87" fillId="22" borderId="3" xfId="0" applyFont="1" applyFill="1" applyBorder="1" applyAlignment="1">
      <alignment horizontal="center" vertical="center"/>
    </xf>
    <xf numFmtId="0" fontId="87" fillId="22" borderId="4" xfId="0" applyFont="1" applyFill="1" applyBorder="1" applyAlignment="1">
      <alignment horizontal="center" vertical="center"/>
    </xf>
    <xf numFmtId="0" fontId="87" fillId="22" borderId="8" xfId="0" applyFont="1" applyFill="1" applyBorder="1" applyAlignment="1">
      <alignment horizontal="center" vertical="center"/>
    </xf>
    <xf numFmtId="0" fontId="87" fillId="22" borderId="14" xfId="0" applyFont="1" applyFill="1" applyBorder="1" applyAlignment="1">
      <alignment horizontal="center" vertical="center"/>
    </xf>
    <xf numFmtId="0" fontId="87" fillId="22" borderId="9" xfId="0" applyFont="1" applyFill="1" applyBorder="1" applyAlignment="1">
      <alignment horizontal="center" vertical="center"/>
    </xf>
    <xf numFmtId="0" fontId="87" fillId="21" borderId="8" xfId="0" applyFont="1" applyFill="1" applyBorder="1" applyAlignment="1">
      <alignment horizontal="center" vertical="top"/>
    </xf>
    <xf numFmtId="0" fontId="87" fillId="21" borderId="14" xfId="0" applyFont="1" applyFill="1" applyBorder="1" applyAlignment="1">
      <alignment horizontal="center" vertical="top"/>
    </xf>
    <xf numFmtId="0" fontId="87" fillId="21" borderId="9" xfId="0" applyFont="1" applyFill="1" applyBorder="1" applyAlignment="1">
      <alignment horizontal="center" vertical="top"/>
    </xf>
    <xf numFmtId="0" fontId="87" fillId="21" borderId="8" xfId="0" applyFont="1" applyFill="1" applyBorder="1" applyAlignment="1">
      <alignment horizontal="center" vertical="center"/>
    </xf>
    <xf numFmtId="0" fontId="87" fillId="21" borderId="14" xfId="0" applyFont="1" applyFill="1" applyBorder="1" applyAlignment="1">
      <alignment horizontal="center" vertical="center"/>
    </xf>
    <xf numFmtId="0" fontId="87" fillId="21" borderId="9" xfId="0" applyFont="1" applyFill="1" applyBorder="1" applyAlignment="1">
      <alignment horizontal="center" vertical="center"/>
    </xf>
    <xf numFmtId="0" fontId="87" fillId="22" borderId="6" xfId="0" applyFont="1" applyFill="1" applyBorder="1" applyAlignment="1">
      <alignment horizontal="center" vertical="center"/>
    </xf>
    <xf numFmtId="0" fontId="87" fillId="22" borderId="0" xfId="0" applyFont="1" applyFill="1" applyBorder="1" applyAlignment="1">
      <alignment horizontal="center" vertical="center"/>
    </xf>
    <xf numFmtId="0" fontId="87" fillId="22" borderId="7" xfId="0" applyFont="1" applyFill="1" applyBorder="1" applyAlignment="1">
      <alignment horizontal="center" vertical="center"/>
    </xf>
    <xf numFmtId="172" fontId="87" fillId="23" borderId="2" xfId="0" applyNumberFormat="1" applyFont="1" applyFill="1" applyBorder="1" applyAlignment="1" applyProtection="1">
      <alignment horizontal="center" vertical="center"/>
    </xf>
    <xf numFmtId="172" fontId="87" fillId="23" borderId="3" xfId="0" applyNumberFormat="1" applyFont="1" applyFill="1" applyBorder="1" applyAlignment="1" applyProtection="1">
      <alignment horizontal="center" vertical="center"/>
    </xf>
    <xf numFmtId="172" fontId="87" fillId="23" borderId="4" xfId="0" applyNumberFormat="1" applyFont="1" applyFill="1" applyBorder="1" applyAlignment="1" applyProtection="1">
      <alignment horizontal="center" vertical="center"/>
    </xf>
    <xf numFmtId="172" fontId="87" fillId="23" borderId="6" xfId="0" applyNumberFormat="1" applyFont="1" applyFill="1" applyBorder="1" applyAlignment="1" applyProtection="1">
      <alignment horizontal="center" vertical="center"/>
    </xf>
    <xf numFmtId="172" fontId="87" fillId="23" borderId="0" xfId="0" applyNumberFormat="1" applyFont="1" applyFill="1" applyBorder="1" applyAlignment="1" applyProtection="1">
      <alignment horizontal="center" vertical="center"/>
    </xf>
    <xf numFmtId="172" fontId="87" fillId="23" borderId="7" xfId="0" applyNumberFormat="1" applyFont="1" applyFill="1" applyBorder="1" applyAlignment="1" applyProtection="1">
      <alignment horizontal="center" vertical="center"/>
    </xf>
    <xf numFmtId="172" fontId="87" fillId="23" borderId="8" xfId="0" applyNumberFormat="1" applyFont="1" applyFill="1" applyBorder="1" applyAlignment="1" applyProtection="1">
      <alignment horizontal="center" vertical="center"/>
    </xf>
    <xf numFmtId="172" fontId="87" fillId="23" borderId="14" xfId="0" applyNumberFormat="1" applyFont="1" applyFill="1" applyBorder="1" applyAlignment="1" applyProtection="1">
      <alignment horizontal="center" vertical="center"/>
    </xf>
    <xf numFmtId="172" fontId="87" fillId="23" borderId="9" xfId="0" applyNumberFormat="1" applyFont="1" applyFill="1" applyBorder="1" applyAlignment="1" applyProtection="1">
      <alignment horizontal="center" vertical="center"/>
    </xf>
    <xf numFmtId="169" fontId="87" fillId="23" borderId="3" xfId="0" applyNumberFormat="1" applyFont="1" applyFill="1" applyBorder="1" applyAlignment="1" applyProtection="1">
      <alignment horizontal="center" vertical="center"/>
    </xf>
    <xf numFmtId="169" fontId="87" fillId="23" borderId="4" xfId="0" applyNumberFormat="1" applyFont="1" applyFill="1" applyBorder="1" applyAlignment="1" applyProtection="1">
      <alignment horizontal="center" vertical="center"/>
    </xf>
    <xf numFmtId="169" fontId="87" fillId="23" borderId="0" xfId="0" applyNumberFormat="1" applyFont="1" applyFill="1" applyBorder="1" applyAlignment="1" applyProtection="1">
      <alignment horizontal="center" vertical="center"/>
    </xf>
    <xf numFmtId="169" fontId="87" fillId="23" borderId="7" xfId="0" applyNumberFormat="1" applyFont="1" applyFill="1" applyBorder="1" applyAlignment="1" applyProtection="1">
      <alignment horizontal="center" vertical="center"/>
    </xf>
    <xf numFmtId="169" fontId="87" fillId="23" borderId="6" xfId="0" applyNumberFormat="1" applyFont="1" applyFill="1" applyBorder="1" applyAlignment="1" applyProtection="1">
      <alignment horizontal="center" vertical="center"/>
    </xf>
    <xf numFmtId="169" fontId="87" fillId="23" borderId="14" xfId="0" applyNumberFormat="1" applyFont="1" applyFill="1" applyBorder="1" applyAlignment="1" applyProtection="1">
      <alignment horizontal="center" vertical="center"/>
    </xf>
    <xf numFmtId="169" fontId="87" fillId="23" borderId="9" xfId="0" applyNumberFormat="1" applyFont="1" applyFill="1" applyBorder="1" applyAlignment="1" applyProtection="1">
      <alignment horizontal="center" vertical="center"/>
    </xf>
    <xf numFmtId="169" fontId="87" fillId="23" borderId="2" xfId="0" applyNumberFormat="1" applyFont="1" applyFill="1" applyBorder="1" applyAlignment="1" applyProtection="1">
      <alignment horizontal="center" vertical="center"/>
    </xf>
    <xf numFmtId="169" fontId="87" fillId="23" borderId="8" xfId="0" applyNumberFormat="1" applyFont="1" applyFill="1" applyBorder="1" applyAlignment="1" applyProtection="1">
      <alignment horizontal="center" vertical="center"/>
    </xf>
    <xf numFmtId="172" fontId="88" fillId="19" borderId="9" xfId="0" applyNumberFormat="1" applyFont="1" applyFill="1" applyBorder="1" applyAlignment="1" applyProtection="1">
      <alignment horizontal="center" vertical="center"/>
      <protection locked="0"/>
    </xf>
    <xf numFmtId="0" fontId="87" fillId="20" borderId="8" xfId="0" applyFont="1" applyFill="1" applyBorder="1" applyAlignment="1">
      <alignment horizontal="center" vertical="center"/>
    </xf>
    <xf numFmtId="0" fontId="87" fillId="20" borderId="14" xfId="0" applyFont="1" applyFill="1" applyBorder="1" applyAlignment="1">
      <alignment horizontal="center" vertical="center"/>
    </xf>
    <xf numFmtId="0" fontId="87" fillId="20" borderId="9" xfId="0" applyFont="1" applyFill="1" applyBorder="1" applyAlignment="1">
      <alignment horizontal="center" vertical="center"/>
    </xf>
    <xf numFmtId="174" fontId="87" fillId="21" borderId="2" xfId="0" applyNumberFormat="1" applyFont="1" applyFill="1" applyBorder="1" applyAlignment="1">
      <alignment horizontal="left" vertical="center"/>
    </xf>
    <xf numFmtId="174" fontId="87" fillId="21" borderId="3" xfId="0" applyNumberFormat="1" applyFont="1" applyFill="1" applyBorder="1" applyAlignment="1">
      <alignment horizontal="left" vertical="center"/>
    </xf>
    <xf numFmtId="174" fontId="87" fillId="21" borderId="4" xfId="0" applyNumberFormat="1" applyFont="1" applyFill="1" applyBorder="1" applyAlignment="1">
      <alignment horizontal="left" vertical="center"/>
    </xf>
    <xf numFmtId="174" fontId="87" fillId="21" borderId="17" xfId="0" applyNumberFormat="1" applyFont="1" applyFill="1" applyBorder="1" applyAlignment="1">
      <alignment horizontal="left" vertical="center"/>
    </xf>
    <xf numFmtId="174" fontId="87" fillId="21" borderId="5" xfId="0" applyNumberFormat="1" applyFont="1" applyFill="1" applyBorder="1" applyAlignment="1">
      <alignment horizontal="left" vertical="center"/>
    </xf>
    <xf numFmtId="174" fontId="24" fillId="21" borderId="8" xfId="0" applyNumberFormat="1" applyFont="1" applyFill="1" applyBorder="1" applyAlignment="1">
      <alignment horizontal="center" vertical="center"/>
    </xf>
    <xf numFmtId="174" fontId="24" fillId="21" borderId="14" xfId="0" applyNumberFormat="1" applyFont="1" applyFill="1" applyBorder="1" applyAlignment="1">
      <alignment horizontal="center" vertical="center"/>
    </xf>
    <xf numFmtId="172" fontId="24" fillId="20" borderId="8" xfId="0" applyNumberFormat="1" applyFont="1" applyFill="1" applyBorder="1" applyAlignment="1" applyProtection="1">
      <alignment horizontal="center" vertical="center"/>
    </xf>
    <xf numFmtId="172" fontId="24" fillId="20" borderId="14" xfId="0" applyNumberFormat="1" applyFont="1" applyFill="1" applyBorder="1" applyAlignment="1" applyProtection="1">
      <alignment horizontal="center" vertical="center"/>
    </xf>
    <xf numFmtId="172" fontId="24" fillId="20" borderId="9" xfId="0" applyNumberFormat="1" applyFont="1" applyFill="1" applyBorder="1" applyAlignment="1" applyProtection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0" fontId="1" fillId="4" borderId="4" xfId="2" applyFont="1" applyFill="1" applyBorder="1" applyAlignment="1">
      <alignment horizontal="center" vertical="center"/>
    </xf>
    <xf numFmtId="0" fontId="1" fillId="17" borderId="1" xfId="2" applyFont="1" applyFill="1" applyBorder="1" applyAlignment="1">
      <alignment horizontal="center" vertical="center"/>
    </xf>
    <xf numFmtId="0" fontId="1" fillId="3" borderId="17" xfId="2" applyFont="1" applyFill="1" applyBorder="1" applyAlignment="1">
      <alignment horizontal="center" vertical="center"/>
    </xf>
    <xf numFmtId="0" fontId="1" fillId="4" borderId="6" xfId="2" applyFont="1" applyFill="1" applyBorder="1" applyAlignment="1">
      <alignment horizontal="center" vertical="center"/>
    </xf>
    <xf numFmtId="0" fontId="1" fillId="4" borderId="0" xfId="2" applyFont="1" applyFill="1" applyBorder="1" applyAlignment="1">
      <alignment horizontal="center" vertical="center"/>
    </xf>
    <xf numFmtId="0" fontId="1" fillId="4" borderId="7" xfId="2" applyFont="1" applyFill="1" applyBorder="1" applyAlignment="1">
      <alignment horizontal="center" vertical="center"/>
    </xf>
    <xf numFmtId="0" fontId="1" fillId="17" borderId="17" xfId="2" applyFont="1" applyFill="1" applyBorder="1" applyAlignment="1">
      <alignment horizontal="center" vertical="center"/>
    </xf>
    <xf numFmtId="0" fontId="1" fillId="3" borderId="5" xfId="2" applyFont="1" applyFill="1" applyBorder="1" applyAlignment="1">
      <alignment horizontal="center" vertical="center"/>
    </xf>
    <xf numFmtId="0" fontId="1" fillId="4" borderId="8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1" fillId="4" borderId="9" xfId="2" applyFont="1" applyFill="1" applyBorder="1" applyAlignment="1">
      <alignment horizontal="center" vertical="center"/>
    </xf>
    <xf numFmtId="0" fontId="1" fillId="17" borderId="5" xfId="2" applyFont="1" applyFill="1" applyBorder="1" applyAlignment="1">
      <alignment horizontal="center" vertical="center"/>
    </xf>
    <xf numFmtId="0" fontId="1" fillId="17" borderId="5" xfId="2" applyFont="1" applyFill="1" applyBorder="1" applyAlignment="1">
      <alignment horizontal="center" vertical="center"/>
    </xf>
    <xf numFmtId="0" fontId="1" fillId="5" borderId="10" xfId="2" applyFont="1" applyFill="1" applyBorder="1" applyAlignment="1">
      <alignment horizontal="center" vertical="center"/>
    </xf>
    <xf numFmtId="0" fontId="1" fillId="5" borderId="11" xfId="2" applyFont="1" applyFill="1" applyBorder="1" applyAlignment="1">
      <alignment horizontal="center" vertical="center"/>
    </xf>
    <xf numFmtId="0" fontId="1" fillId="5" borderId="12" xfId="2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/>
    </xf>
    <xf numFmtId="0" fontId="90" fillId="0" borderId="10" xfId="2" applyFont="1" applyFill="1" applyBorder="1" applyAlignment="1">
      <alignment horizontal="center" vertical="center"/>
    </xf>
    <xf numFmtId="0" fontId="1" fillId="17" borderId="10" xfId="2" applyFont="1" applyFill="1" applyBorder="1" applyAlignment="1">
      <alignment horizontal="center" vertical="center"/>
    </xf>
    <xf numFmtId="0" fontId="87" fillId="17" borderId="10" xfId="2" applyFont="1" applyFill="1" applyBorder="1" applyAlignment="1">
      <alignment horizontal="center" vertical="center"/>
    </xf>
    <xf numFmtId="0" fontId="1" fillId="17" borderId="1" xfId="2" applyFont="1" applyFill="1" applyBorder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" fontId="91" fillId="10" borderId="10" xfId="2" applyNumberFormat="1" applyFont="1" applyFill="1" applyBorder="1" applyAlignment="1">
      <alignment horizontal="center" vertical="center"/>
    </xf>
    <xf numFmtId="169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70" fontId="91" fillId="10" borderId="10" xfId="2" applyNumberFormat="1" applyFont="1" applyFill="1" applyBorder="1" applyAlignment="1">
      <alignment horizontal="center" vertical="center"/>
    </xf>
    <xf numFmtId="169" fontId="1" fillId="0" borderId="10" xfId="2" applyNumberFormat="1" applyFont="1" applyFill="1" applyBorder="1" applyAlignment="1">
      <alignment horizontal="center" vertical="center"/>
    </xf>
    <xf numFmtId="169" fontId="90" fillId="0" borderId="10" xfId="2" applyNumberFormat="1" applyFont="1" applyFill="1" applyBorder="1" applyAlignment="1">
      <alignment horizontal="center" vertical="center"/>
    </xf>
    <xf numFmtId="169" fontId="92" fillId="0" borderId="10" xfId="2" applyNumberFormat="1" applyFont="1" applyFill="1" applyBorder="1" applyAlignment="1">
      <alignment horizontal="center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49" fontId="68" fillId="26" borderId="5" xfId="0" applyNumberFormat="1" applyFont="1" applyFill="1" applyBorder="1" applyAlignment="1">
      <alignment horizontal="center" vertical="center"/>
    </xf>
    <xf numFmtId="49" fontId="68" fillId="0" borderId="10" xfId="2" applyNumberFormat="1" applyFont="1" applyFill="1" applyBorder="1" applyAlignment="1">
      <alignment horizontal="center" vertical="center"/>
    </xf>
    <xf numFmtId="49" fontId="68" fillId="27" borderId="10" xfId="2" applyNumberFormat="1" applyFont="1" applyFill="1" applyBorder="1" applyAlignment="1">
      <alignment horizontal="center" vertical="center"/>
    </xf>
    <xf numFmtId="172" fontId="96" fillId="0" borderId="10" xfId="0" applyNumberFormat="1" applyFont="1" applyBorder="1" applyAlignment="1">
      <alignment horizontal="center"/>
    </xf>
    <xf numFmtId="172" fontId="96" fillId="0" borderId="10" xfId="2" applyNumberFormat="1" applyFont="1" applyFill="1" applyBorder="1" applyAlignment="1">
      <alignment horizontal="center" vertical="center"/>
    </xf>
    <xf numFmtId="172" fontId="97" fillId="0" borderId="10" xfId="2" applyNumberFormat="1" applyFont="1" applyFill="1" applyBorder="1" applyAlignment="1">
      <alignment horizontal="center" vertical="center"/>
    </xf>
    <xf numFmtId="49" fontId="100" fillId="28" borderId="1" xfId="0" applyNumberFormat="1" applyFont="1" applyFill="1" applyBorder="1" applyAlignment="1">
      <alignment horizontal="left" vertical="center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49" fontId="100" fillId="28" borderId="17" xfId="0" applyNumberFormat="1" applyFont="1" applyFill="1" applyBorder="1" applyAlignment="1">
      <alignment horizontal="left"/>
    </xf>
    <xf numFmtId="2" fontId="87" fillId="19" borderId="20" xfId="0" applyNumberFormat="1" applyFont="1" applyFill="1" applyBorder="1" applyAlignment="1">
      <alignment horizontal="right" vertical="center"/>
    </xf>
    <xf numFmtId="2" fontId="87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49" fontId="100" fillId="28" borderId="5" xfId="0" applyNumberFormat="1" applyFont="1" applyFill="1" applyBorder="1" applyAlignment="1">
      <alignment horizontal="left"/>
    </xf>
    <xf numFmtId="185" fontId="100" fillId="19" borderId="22" xfId="0" applyNumberFormat="1" applyFont="1" applyFill="1" applyBorder="1" applyAlignment="1">
      <alignment horizontal="right" vertical="center"/>
    </xf>
    <xf numFmtId="185" fontId="100" fillId="19" borderId="23" xfId="0" applyNumberFormat="1" applyFont="1" applyFill="1" applyBorder="1" applyAlignment="1">
      <alignment horizontal="right" vertical="center"/>
    </xf>
    <xf numFmtId="2" fontId="1" fillId="0" borderId="10" xfId="2" applyNumberFormat="1" applyFont="1" applyFill="1" applyBorder="1" applyAlignment="1">
      <alignment horizontal="center" vertical="center"/>
    </xf>
    <xf numFmtId="172" fontId="93" fillId="17" borderId="10" xfId="2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tabSelected="1" view="pageBreakPreview" topLeftCell="A19" zoomScaleNormal="100" zoomScaleSheetLayoutView="100" workbookViewId="0">
      <selection activeCell="A26" sqref="A26:C26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345" t="s">
        <v>34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276" t="s">
        <v>35</v>
      </c>
      <c r="M1" s="276"/>
      <c r="N1" s="276"/>
      <c r="O1" s="276"/>
      <c r="P1" s="277"/>
      <c r="Q1" s="340" t="s">
        <v>177</v>
      </c>
      <c r="R1" s="340"/>
      <c r="S1" s="340"/>
      <c r="T1" s="340"/>
      <c r="U1" s="340"/>
      <c r="V1" s="340"/>
      <c r="W1" s="276"/>
      <c r="X1" s="278" t="s">
        <v>128</v>
      </c>
      <c r="Y1" s="276"/>
      <c r="Z1" s="338">
        <v>1</v>
      </c>
      <c r="AA1" s="338"/>
      <c r="AB1" s="278" t="s">
        <v>129</v>
      </c>
      <c r="AC1" s="338">
        <v>1</v>
      </c>
      <c r="AD1" s="338"/>
      <c r="AE1" s="42"/>
    </row>
    <row r="2" spans="1:37" ht="21.75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278" t="s">
        <v>36</v>
      </c>
      <c r="M2" s="276"/>
      <c r="N2" s="278"/>
      <c r="O2" s="276"/>
      <c r="P2" s="279"/>
      <c r="Q2" s="339">
        <v>42459</v>
      </c>
      <c r="R2" s="339"/>
      <c r="S2" s="339"/>
      <c r="T2" s="339"/>
      <c r="U2" s="278" t="s">
        <v>37</v>
      </c>
      <c r="V2" s="276"/>
      <c r="W2" s="280"/>
      <c r="X2" s="280"/>
      <c r="Y2" s="280"/>
      <c r="Z2" s="339">
        <v>42459</v>
      </c>
      <c r="AA2" s="339"/>
      <c r="AB2" s="339"/>
      <c r="AC2" s="339"/>
      <c r="AD2" s="339"/>
      <c r="AE2" s="42"/>
    </row>
    <row r="3" spans="1:37" ht="21.75">
      <c r="A3" s="346" t="s">
        <v>62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276" t="s">
        <v>39</v>
      </c>
      <c r="M3" s="276"/>
      <c r="N3" s="276"/>
      <c r="O3" s="276"/>
      <c r="P3" s="276"/>
      <c r="Q3" s="279"/>
      <c r="R3" s="348">
        <v>23</v>
      </c>
      <c r="S3" s="348"/>
      <c r="T3" s="281" t="s">
        <v>63</v>
      </c>
      <c r="U3" s="340">
        <v>50</v>
      </c>
      <c r="V3" s="340"/>
      <c r="W3" s="282" t="s">
        <v>40</v>
      </c>
      <c r="X3" s="276"/>
      <c r="Y3" s="276"/>
      <c r="Z3" s="276"/>
      <c r="AA3" s="276"/>
      <c r="AB3" s="276"/>
      <c r="AC3" s="276"/>
      <c r="AD3" s="276"/>
      <c r="AE3" s="43"/>
    </row>
    <row r="4" spans="1:37" ht="21.75">
      <c r="A4" s="347" t="s">
        <v>117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276" t="s">
        <v>64</v>
      </c>
      <c r="M4" s="276"/>
      <c r="N4" s="276"/>
      <c r="O4" s="276"/>
      <c r="P4" s="283"/>
      <c r="Q4" s="276" t="s">
        <v>65</v>
      </c>
      <c r="R4" s="276"/>
      <c r="S4" s="276"/>
      <c r="T4" s="276"/>
      <c r="U4" s="276"/>
      <c r="V4" s="276"/>
      <c r="W4" s="276"/>
      <c r="X4" s="283"/>
      <c r="Y4" s="276" t="s">
        <v>66</v>
      </c>
      <c r="Z4" s="276"/>
      <c r="AA4" s="276"/>
      <c r="AB4" s="276"/>
      <c r="AC4" s="276"/>
      <c r="AD4" s="276"/>
      <c r="AE4" s="43"/>
    </row>
    <row r="5" spans="1:37" s="26" customFormat="1" ht="23.1" customHeight="1">
      <c r="A5" s="284" t="s">
        <v>41</v>
      </c>
      <c r="B5" s="285"/>
      <c r="C5" s="285"/>
      <c r="D5" s="285"/>
      <c r="E5" s="285"/>
      <c r="F5" s="286"/>
      <c r="G5" s="341" t="s">
        <v>174</v>
      </c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287"/>
      <c r="AB5" s="287"/>
      <c r="AC5" s="287"/>
      <c r="AD5" s="288"/>
      <c r="AG5" s="44"/>
      <c r="AH5" s="44"/>
      <c r="AI5" s="35"/>
      <c r="AJ5" s="45"/>
      <c r="AK5" s="46"/>
    </row>
    <row r="6" spans="1:37" s="26" customFormat="1" ht="23.1" customHeight="1">
      <c r="A6" s="284" t="s">
        <v>179</v>
      </c>
      <c r="B6" s="285"/>
      <c r="C6" s="285"/>
      <c r="D6" s="285"/>
      <c r="E6" s="285" t="s">
        <v>75</v>
      </c>
      <c r="F6" s="28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6"/>
      <c r="AC6" s="336"/>
      <c r="AD6" s="288"/>
      <c r="AG6" s="44"/>
      <c r="AH6" s="44"/>
      <c r="AI6" s="35"/>
      <c r="AJ6" s="45"/>
      <c r="AK6" s="46"/>
    </row>
    <row r="7" spans="1:37" s="26" customFormat="1" ht="23.1" customHeight="1">
      <c r="A7" s="284" t="s">
        <v>67</v>
      </c>
      <c r="B7" s="285"/>
      <c r="C7" s="285"/>
      <c r="D7" s="285"/>
      <c r="E7" s="285"/>
      <c r="F7" s="289"/>
      <c r="G7" s="336" t="s">
        <v>42</v>
      </c>
      <c r="H7" s="336"/>
      <c r="I7" s="336"/>
      <c r="J7" s="336"/>
      <c r="K7" s="336"/>
      <c r="L7" s="336"/>
      <c r="M7" s="336"/>
      <c r="N7" s="336"/>
      <c r="O7" s="336"/>
      <c r="P7" s="290" t="s">
        <v>43</v>
      </c>
      <c r="Q7" s="291"/>
      <c r="R7" s="289"/>
      <c r="S7" s="289"/>
      <c r="T7" s="289"/>
      <c r="U7" s="336" t="s">
        <v>175</v>
      </c>
      <c r="V7" s="336"/>
      <c r="W7" s="336"/>
      <c r="X7" s="336"/>
      <c r="Y7" s="336"/>
      <c r="Z7" s="336"/>
      <c r="AA7" s="336"/>
      <c r="AB7" s="336"/>
      <c r="AC7" s="336"/>
      <c r="AD7" s="288"/>
    </row>
    <row r="8" spans="1:37" s="26" customFormat="1" ht="23.1" customHeight="1">
      <c r="A8" s="284" t="s">
        <v>44</v>
      </c>
      <c r="B8" s="289"/>
      <c r="C8" s="289"/>
      <c r="D8" s="342" t="s">
        <v>176</v>
      </c>
      <c r="E8" s="342"/>
      <c r="F8" s="342"/>
      <c r="G8" s="342"/>
      <c r="H8" s="342"/>
      <c r="I8" s="342"/>
      <c r="J8" s="342"/>
      <c r="K8" s="342"/>
      <c r="L8" s="334" t="s">
        <v>45</v>
      </c>
      <c r="M8" s="334"/>
      <c r="N8" s="334"/>
      <c r="O8" s="292"/>
      <c r="P8" s="342">
        <v>1234567</v>
      </c>
      <c r="Q8" s="342"/>
      <c r="R8" s="342"/>
      <c r="S8" s="342"/>
      <c r="T8" s="342"/>
      <c r="U8" s="342"/>
      <c r="V8" s="342"/>
      <c r="W8" s="335" t="s">
        <v>46</v>
      </c>
      <c r="X8" s="335"/>
      <c r="Y8" s="336" t="s">
        <v>85</v>
      </c>
      <c r="Z8" s="336"/>
      <c r="AA8" s="336"/>
      <c r="AB8" s="336"/>
      <c r="AC8" s="336"/>
      <c r="AD8" s="288"/>
      <c r="AE8" s="28"/>
    </row>
    <row r="9" spans="1:37" s="26" customFormat="1" ht="23.1" customHeight="1">
      <c r="A9" s="293" t="s">
        <v>48</v>
      </c>
      <c r="B9" s="288"/>
      <c r="C9" s="285"/>
      <c r="D9" s="350">
        <v>0</v>
      </c>
      <c r="E9" s="350"/>
      <c r="F9" s="294" t="s">
        <v>38</v>
      </c>
      <c r="G9" s="350">
        <v>200</v>
      </c>
      <c r="H9" s="350"/>
      <c r="I9" s="337" t="s">
        <v>23</v>
      </c>
      <c r="J9" s="337"/>
      <c r="K9" s="289"/>
      <c r="L9" s="289"/>
      <c r="M9" s="289"/>
      <c r="N9" s="295" t="s">
        <v>49</v>
      </c>
      <c r="O9" s="350">
        <v>1E-3</v>
      </c>
      <c r="P9" s="351"/>
      <c r="Q9" s="351"/>
      <c r="R9" s="351"/>
      <c r="S9" s="296" t="str">
        <f>I9</f>
        <v>g</v>
      </c>
      <c r="T9" s="286"/>
      <c r="U9" s="286"/>
      <c r="V9" s="286"/>
      <c r="W9" s="297"/>
      <c r="X9" s="333"/>
      <c r="Y9" s="333"/>
      <c r="Z9" s="333"/>
      <c r="AA9" s="333"/>
      <c r="AB9" s="288"/>
      <c r="AC9" s="288"/>
      <c r="AD9" s="288"/>
    </row>
    <row r="10" spans="1:37" s="26" customFormat="1" ht="23.1" customHeight="1">
      <c r="A10" s="298" t="s">
        <v>68</v>
      </c>
      <c r="B10" s="298"/>
      <c r="C10" s="298"/>
      <c r="D10" s="298"/>
      <c r="E10" s="298"/>
      <c r="F10" s="293"/>
      <c r="G10" s="299"/>
      <c r="H10" s="293" t="s">
        <v>69</v>
      </c>
      <c r="I10" s="289"/>
      <c r="J10" s="300"/>
      <c r="K10" s="301"/>
      <c r="L10" s="293" t="s">
        <v>70</v>
      </c>
      <c r="M10" s="289"/>
      <c r="N10" s="293"/>
      <c r="O10" s="302"/>
      <c r="P10" s="303"/>
      <c r="Q10" s="304"/>
      <c r="R10" s="305"/>
      <c r="S10" s="306"/>
      <c r="T10" s="287"/>
      <c r="U10" s="287"/>
      <c r="V10" s="287"/>
      <c r="W10" s="307"/>
      <c r="X10" s="307"/>
      <c r="Y10" s="307"/>
      <c r="Z10" s="307"/>
      <c r="AA10" s="307"/>
      <c r="AB10" s="307"/>
      <c r="AC10" s="307"/>
      <c r="AD10" s="288"/>
      <c r="AE10" s="28"/>
    </row>
    <row r="11" spans="1:37" s="26" customFormat="1" ht="6.95" customHeight="1">
      <c r="A11" s="308"/>
      <c r="B11" s="308"/>
      <c r="C11" s="308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8"/>
      <c r="AB11" s="288"/>
      <c r="AC11" s="288"/>
      <c r="AD11" s="288"/>
      <c r="AE11" s="28"/>
    </row>
    <row r="12" spans="1:37" s="26" customFormat="1" ht="23.1" customHeight="1">
      <c r="A12" s="293" t="s">
        <v>180</v>
      </c>
      <c r="B12" s="293"/>
      <c r="C12" s="293"/>
      <c r="D12" s="293"/>
      <c r="E12" s="293"/>
      <c r="F12" s="293"/>
      <c r="G12" s="310"/>
      <c r="H12" s="307" t="s">
        <v>182</v>
      </c>
      <c r="I12" s="307"/>
      <c r="J12" s="307"/>
      <c r="K12" s="307"/>
      <c r="L12" s="307"/>
      <c r="M12" s="307"/>
      <c r="N12" s="307"/>
      <c r="O12" s="288"/>
      <c r="P12" s="288"/>
      <c r="Q12" s="284"/>
      <c r="R12" s="294" t="s">
        <v>47</v>
      </c>
      <c r="S12" s="294"/>
      <c r="T12" s="285"/>
      <c r="U12" s="352">
        <v>43061</v>
      </c>
      <c r="V12" s="352"/>
      <c r="W12" s="352"/>
      <c r="X12" s="352"/>
      <c r="Y12" s="352"/>
      <c r="Z12" s="352"/>
      <c r="AA12" s="288"/>
      <c r="AB12" s="288"/>
      <c r="AC12" s="288"/>
      <c r="AD12" s="288"/>
      <c r="AE12" s="31"/>
    </row>
    <row r="13" spans="1:37" s="26" customFormat="1" ht="23.1" customHeight="1">
      <c r="A13" s="293" t="s">
        <v>180</v>
      </c>
      <c r="B13" s="293"/>
      <c r="C13" s="293"/>
      <c r="D13" s="293"/>
      <c r="E13" s="293"/>
      <c r="F13" s="293"/>
      <c r="G13" s="310"/>
      <c r="H13" s="307"/>
      <c r="I13" s="307"/>
      <c r="J13" s="307"/>
      <c r="K13" s="307"/>
      <c r="L13" s="307"/>
      <c r="M13" s="307"/>
      <c r="N13" s="307"/>
      <c r="O13" s="288"/>
      <c r="P13" s="288"/>
      <c r="Q13" s="284"/>
      <c r="R13" s="294" t="s">
        <v>47</v>
      </c>
      <c r="S13" s="294"/>
      <c r="T13" s="285"/>
      <c r="U13" s="307"/>
      <c r="V13" s="307"/>
      <c r="W13" s="307"/>
      <c r="X13" s="307"/>
      <c r="Y13" s="307"/>
      <c r="Z13" s="307"/>
      <c r="AA13" s="288"/>
      <c r="AB13" s="288"/>
      <c r="AC13" s="288"/>
      <c r="AD13" s="288"/>
    </row>
    <row r="14" spans="1:37" s="26" customFormat="1" ht="18" customHeight="1">
      <c r="A14" s="329" t="s">
        <v>181</v>
      </c>
      <c r="H14" s="330" t="s">
        <v>140</v>
      </c>
      <c r="I14" s="48"/>
      <c r="J14" s="48"/>
      <c r="K14" s="48"/>
      <c r="L14" s="48"/>
      <c r="M14" s="48"/>
      <c r="N14" s="48"/>
      <c r="W14" s="29"/>
      <c r="X14" s="29"/>
      <c r="Y14" s="29"/>
      <c r="AD14" s="49"/>
    </row>
    <row r="15" spans="1:37" s="26" customFormat="1" ht="18" customHeight="1">
      <c r="W15" s="29"/>
      <c r="X15" s="29"/>
      <c r="Y15" s="29"/>
      <c r="AD15" s="49"/>
    </row>
    <row r="16" spans="1:37" s="26" customFormat="1" ht="18" customHeight="1">
      <c r="A16" s="50" t="s">
        <v>71</v>
      </c>
    </row>
    <row r="17" spans="1:35" s="26" customFormat="1" ht="21.75">
      <c r="A17" s="39" t="s">
        <v>115</v>
      </c>
      <c r="B17" s="30"/>
      <c r="C17" s="30"/>
      <c r="D17" s="27"/>
      <c r="E17" s="40"/>
      <c r="F17" s="40"/>
      <c r="G17" s="40"/>
      <c r="H17" s="40"/>
      <c r="I17" s="40"/>
      <c r="J17" s="40"/>
      <c r="K17" s="40"/>
      <c r="L17" s="40"/>
      <c r="M17" s="40"/>
      <c r="N17" s="39" t="s">
        <v>121</v>
      </c>
      <c r="O17" s="40"/>
      <c r="P17" s="40"/>
      <c r="Q17" s="40"/>
      <c r="R17" s="40"/>
      <c r="S17" s="40"/>
      <c r="T17" s="30"/>
      <c r="U17" s="30"/>
      <c r="V17" s="27"/>
      <c r="W17" s="343"/>
      <c r="X17" s="343"/>
      <c r="Y17" s="344"/>
      <c r="Z17" s="344"/>
      <c r="AA17" s="27"/>
    </row>
    <row r="18" spans="1:35" s="26" customFormat="1" ht="18" customHeight="1">
      <c r="A18" s="494" t="s">
        <v>11</v>
      </c>
      <c r="B18" s="495"/>
      <c r="C18" s="496"/>
      <c r="D18" s="497">
        <v>1</v>
      </c>
      <c r="E18" s="498"/>
      <c r="F18" s="498"/>
      <c r="G18" s="499"/>
      <c r="H18" s="497">
        <v>2</v>
      </c>
      <c r="I18" s="498"/>
      <c r="J18" s="498"/>
      <c r="K18" s="499"/>
      <c r="L18" s="497">
        <v>3</v>
      </c>
      <c r="M18" s="498"/>
      <c r="N18" s="498"/>
      <c r="O18" s="499"/>
      <c r="P18" s="497">
        <v>4</v>
      </c>
      <c r="Q18" s="498"/>
      <c r="R18" s="498"/>
      <c r="S18" s="499"/>
      <c r="T18" s="497">
        <v>5</v>
      </c>
      <c r="U18" s="498"/>
      <c r="V18" s="498"/>
      <c r="W18" s="499"/>
      <c r="X18" s="500" t="s">
        <v>50</v>
      </c>
      <c r="Y18" s="500"/>
      <c r="Z18" s="500"/>
      <c r="AA18" s="500"/>
    </row>
    <row r="19" spans="1:35" s="26" customFormat="1" ht="18" customHeight="1">
      <c r="A19" s="501">
        <f>rang</f>
        <v>200</v>
      </c>
      <c r="B19" s="502"/>
      <c r="C19" s="503"/>
      <c r="D19" s="487">
        <v>200</v>
      </c>
      <c r="E19" s="488"/>
      <c r="F19" s="488"/>
      <c r="G19" s="489"/>
      <c r="H19" s="487">
        <v>200</v>
      </c>
      <c r="I19" s="488"/>
      <c r="J19" s="488"/>
      <c r="K19" s="489"/>
      <c r="L19" s="487">
        <v>200</v>
      </c>
      <c r="M19" s="488"/>
      <c r="N19" s="488"/>
      <c r="O19" s="489"/>
      <c r="P19" s="487">
        <v>200</v>
      </c>
      <c r="Q19" s="488"/>
      <c r="R19" s="488"/>
      <c r="S19" s="489"/>
      <c r="T19" s="487">
        <v>200</v>
      </c>
      <c r="U19" s="488"/>
      <c r="V19" s="488"/>
      <c r="W19" s="489"/>
      <c r="X19" s="500"/>
      <c r="Y19" s="500"/>
      <c r="Z19" s="500"/>
      <c r="AA19" s="500"/>
    </row>
    <row r="20" spans="1:35" s="26" customFormat="1" ht="18" customHeight="1">
      <c r="A20" s="501"/>
      <c r="B20" s="502"/>
      <c r="C20" s="503"/>
      <c r="D20" s="497">
        <v>3</v>
      </c>
      <c r="E20" s="498"/>
      <c r="F20" s="498"/>
      <c r="G20" s="499"/>
      <c r="H20" s="497">
        <v>7</v>
      </c>
      <c r="I20" s="498"/>
      <c r="J20" s="498"/>
      <c r="K20" s="499"/>
      <c r="L20" s="497">
        <v>8</v>
      </c>
      <c r="M20" s="498"/>
      <c r="N20" s="498"/>
      <c r="O20" s="499"/>
      <c r="P20" s="497">
        <v>9</v>
      </c>
      <c r="Q20" s="498"/>
      <c r="R20" s="498"/>
      <c r="S20" s="499"/>
      <c r="T20" s="497">
        <v>10</v>
      </c>
      <c r="U20" s="498"/>
      <c r="V20" s="498"/>
      <c r="W20" s="499"/>
      <c r="X20" s="490">
        <f>_xlfn.STDEV.S(D19:W19,D21:W21)</f>
        <v>0</v>
      </c>
      <c r="Y20" s="490"/>
      <c r="Z20" s="490"/>
      <c r="AA20" s="490"/>
    </row>
    <row r="21" spans="1:35" s="26" customFormat="1" ht="18" customHeight="1">
      <c r="A21" s="504"/>
      <c r="B21" s="505"/>
      <c r="C21" s="506"/>
      <c r="D21" s="491">
        <v>200</v>
      </c>
      <c r="E21" s="492"/>
      <c r="F21" s="492"/>
      <c r="G21" s="493"/>
      <c r="H21" s="491">
        <v>200</v>
      </c>
      <c r="I21" s="492"/>
      <c r="J21" s="492"/>
      <c r="K21" s="493"/>
      <c r="L21" s="491">
        <v>200</v>
      </c>
      <c r="M21" s="492"/>
      <c r="N21" s="492"/>
      <c r="O21" s="493"/>
      <c r="P21" s="491">
        <v>200</v>
      </c>
      <c r="Q21" s="492"/>
      <c r="R21" s="492"/>
      <c r="S21" s="493"/>
      <c r="T21" s="491">
        <v>200</v>
      </c>
      <c r="U21" s="492"/>
      <c r="V21" s="492"/>
      <c r="W21" s="493"/>
      <c r="X21" s="490"/>
      <c r="Y21" s="490"/>
      <c r="Z21" s="490"/>
      <c r="AA21" s="490"/>
      <c r="AF21" s="32"/>
      <c r="AG21" s="32"/>
      <c r="AH21" s="32"/>
      <c r="AI21" s="32"/>
    </row>
    <row r="22" spans="1:35" s="26" customFormat="1" ht="18" customHeight="1">
      <c r="A22" s="50"/>
    </row>
    <row r="23" spans="1:35" s="26" customFormat="1" ht="18" customHeight="1">
      <c r="A23" s="27" t="s">
        <v>109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122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s="26" customFormat="1" ht="18" customHeight="1">
      <c r="A24" s="494" t="s">
        <v>51</v>
      </c>
      <c r="B24" s="495"/>
      <c r="C24" s="496"/>
      <c r="D24" s="497" t="s">
        <v>141</v>
      </c>
      <c r="E24" s="498"/>
      <c r="F24" s="498"/>
      <c r="G24" s="498"/>
      <c r="H24" s="498"/>
      <c r="I24" s="498"/>
      <c r="J24" s="498"/>
      <c r="K24" s="498"/>
      <c r="L24" s="498"/>
      <c r="M24" s="498"/>
      <c r="N24" s="498"/>
      <c r="O24" s="498"/>
      <c r="P24" s="498"/>
      <c r="Q24" s="498"/>
      <c r="R24" s="498"/>
      <c r="S24" s="498"/>
      <c r="T24" s="494" t="s">
        <v>58</v>
      </c>
      <c r="U24" s="495"/>
      <c r="V24" s="495"/>
      <c r="W24" s="496"/>
      <c r="X24" s="494" t="s">
        <v>4</v>
      </c>
      <c r="Y24" s="495"/>
      <c r="Z24" s="495"/>
      <c r="AA24" s="496"/>
      <c r="AB24" s="494" t="s">
        <v>72</v>
      </c>
      <c r="AC24" s="495"/>
      <c r="AD24" s="495"/>
      <c r="AE24" s="496"/>
    </row>
    <row r="25" spans="1:35" s="26" customFormat="1" ht="18" customHeight="1">
      <c r="A25" s="517" t="str">
        <f>I9</f>
        <v>g</v>
      </c>
      <c r="B25" s="518"/>
      <c r="C25" s="519"/>
      <c r="D25" s="494" t="s">
        <v>54</v>
      </c>
      <c r="E25" s="495"/>
      <c r="F25" s="495"/>
      <c r="G25" s="495"/>
      <c r="H25" s="494" t="s">
        <v>55</v>
      </c>
      <c r="I25" s="495"/>
      <c r="J25" s="495"/>
      <c r="K25" s="495"/>
      <c r="L25" s="494" t="s">
        <v>56</v>
      </c>
      <c r="M25" s="495"/>
      <c r="N25" s="495"/>
      <c r="O25" s="495"/>
      <c r="P25" s="494" t="s">
        <v>57</v>
      </c>
      <c r="Q25" s="495"/>
      <c r="R25" s="495"/>
      <c r="S25" s="495"/>
      <c r="T25" s="520"/>
      <c r="U25" s="521"/>
      <c r="V25" s="521"/>
      <c r="W25" s="522"/>
      <c r="X25" s="520"/>
      <c r="Y25" s="521"/>
      <c r="Z25" s="521"/>
      <c r="AA25" s="522"/>
      <c r="AB25" s="520"/>
      <c r="AC25" s="521"/>
      <c r="AD25" s="521"/>
      <c r="AE25" s="522"/>
    </row>
    <row r="26" spans="1:35" s="26" customFormat="1" ht="18" customHeight="1">
      <c r="A26" s="511">
        <f>setm10-setm10</f>
        <v>0</v>
      </c>
      <c r="B26" s="512"/>
      <c r="C26" s="513"/>
      <c r="D26" s="507">
        <v>0</v>
      </c>
      <c r="E26" s="508"/>
      <c r="F26" s="508"/>
      <c r="G26" s="508"/>
      <c r="H26" s="507">
        <v>0</v>
      </c>
      <c r="I26" s="508"/>
      <c r="J26" s="508"/>
      <c r="K26" s="508"/>
      <c r="L26" s="507">
        <v>0</v>
      </c>
      <c r="M26" s="508"/>
      <c r="N26" s="508"/>
      <c r="O26" s="508"/>
      <c r="P26" s="507">
        <v>0</v>
      </c>
      <c r="Q26" s="508"/>
      <c r="R26" s="508"/>
      <c r="S26" s="508"/>
      <c r="T26" s="526">
        <f>IF(COUNTA(D26:S26)=0,"",AVERAGE(D26:S26))</f>
        <v>0</v>
      </c>
      <c r="U26" s="527"/>
      <c r="V26" s="527"/>
      <c r="W26" s="528"/>
      <c r="X26" s="542">
        <f>IF(COUNTA(D26:S26)=0,"",_xlfn.STDEV.S(D26:S26)/SQRT(4))</f>
        <v>0</v>
      </c>
      <c r="Y26" s="535"/>
      <c r="Z26" s="535"/>
      <c r="AA26" s="536"/>
      <c r="AB26" s="526">
        <f>IF(T26="","",T26-A26)</f>
        <v>0</v>
      </c>
      <c r="AC26" s="527"/>
      <c r="AD26" s="527"/>
      <c r="AE26" s="528"/>
    </row>
    <row r="27" spans="1:35" s="26" customFormat="1" ht="18" customHeight="1">
      <c r="A27" s="523">
        <f>G9*10%</f>
        <v>20</v>
      </c>
      <c r="B27" s="524"/>
      <c r="C27" s="525"/>
      <c r="D27" s="487">
        <v>20</v>
      </c>
      <c r="E27" s="488"/>
      <c r="F27" s="488"/>
      <c r="G27" s="488"/>
      <c r="H27" s="487">
        <v>20</v>
      </c>
      <c r="I27" s="488"/>
      <c r="J27" s="488"/>
      <c r="K27" s="488"/>
      <c r="L27" s="487">
        <v>20</v>
      </c>
      <c r="M27" s="488"/>
      <c r="N27" s="488"/>
      <c r="O27" s="488"/>
      <c r="P27" s="487">
        <v>20</v>
      </c>
      <c r="Q27" s="488"/>
      <c r="R27" s="488"/>
      <c r="S27" s="488"/>
      <c r="T27" s="529">
        <f t="shared" ref="T27:T36" si="0">IF(COUNTA(D27:S27)=0,"",AVERAGE(D27:S27))</f>
        <v>20</v>
      </c>
      <c r="U27" s="530"/>
      <c r="V27" s="530"/>
      <c r="W27" s="531"/>
      <c r="X27" s="539">
        <f t="shared" ref="X27:X36" si="1">IF(COUNTA(D27:S27)=0,"",_xlfn.STDEV.S(D27:S27)/SQRT(4))</f>
        <v>0</v>
      </c>
      <c r="Y27" s="537"/>
      <c r="Z27" s="537"/>
      <c r="AA27" s="538"/>
      <c r="AB27" s="529">
        <f t="shared" ref="AB27:AB36" si="2">IF(T27="","",T27-A27)</f>
        <v>0</v>
      </c>
      <c r="AC27" s="530"/>
      <c r="AD27" s="530"/>
      <c r="AE27" s="531"/>
    </row>
    <row r="28" spans="1:35" s="26" customFormat="1" ht="18" customHeight="1">
      <c r="A28" s="523">
        <f>G9*20%</f>
        <v>40</v>
      </c>
      <c r="B28" s="524"/>
      <c r="C28" s="525"/>
      <c r="D28" s="487">
        <v>40</v>
      </c>
      <c r="E28" s="488"/>
      <c r="F28" s="488"/>
      <c r="G28" s="488"/>
      <c r="H28" s="487">
        <v>40</v>
      </c>
      <c r="I28" s="488"/>
      <c r="J28" s="488"/>
      <c r="K28" s="488"/>
      <c r="L28" s="487">
        <v>40</v>
      </c>
      <c r="M28" s="488"/>
      <c r="N28" s="488"/>
      <c r="O28" s="488"/>
      <c r="P28" s="487">
        <v>40</v>
      </c>
      <c r="Q28" s="488"/>
      <c r="R28" s="488"/>
      <c r="S28" s="488"/>
      <c r="T28" s="529">
        <f t="shared" si="0"/>
        <v>40</v>
      </c>
      <c r="U28" s="530"/>
      <c r="V28" s="530"/>
      <c r="W28" s="531"/>
      <c r="X28" s="539">
        <f t="shared" si="1"/>
        <v>0</v>
      </c>
      <c r="Y28" s="537"/>
      <c r="Z28" s="537"/>
      <c r="AA28" s="538"/>
      <c r="AB28" s="529">
        <f t="shared" si="2"/>
        <v>0</v>
      </c>
      <c r="AC28" s="530"/>
      <c r="AD28" s="530"/>
      <c r="AE28" s="531"/>
    </row>
    <row r="29" spans="1:35" s="26" customFormat="1" ht="18" customHeight="1">
      <c r="A29" s="523">
        <f>G9*30%</f>
        <v>60</v>
      </c>
      <c r="B29" s="524"/>
      <c r="C29" s="525"/>
      <c r="D29" s="487">
        <v>60</v>
      </c>
      <c r="E29" s="488"/>
      <c r="F29" s="488"/>
      <c r="G29" s="488"/>
      <c r="H29" s="487">
        <v>60</v>
      </c>
      <c r="I29" s="488"/>
      <c r="J29" s="488"/>
      <c r="K29" s="488"/>
      <c r="L29" s="487">
        <v>60</v>
      </c>
      <c r="M29" s="488"/>
      <c r="N29" s="488"/>
      <c r="O29" s="488"/>
      <c r="P29" s="487">
        <v>60</v>
      </c>
      <c r="Q29" s="488"/>
      <c r="R29" s="488"/>
      <c r="S29" s="488"/>
      <c r="T29" s="529">
        <f t="shared" si="0"/>
        <v>60</v>
      </c>
      <c r="U29" s="530"/>
      <c r="V29" s="530"/>
      <c r="W29" s="531"/>
      <c r="X29" s="539">
        <f t="shared" si="1"/>
        <v>0</v>
      </c>
      <c r="Y29" s="537"/>
      <c r="Z29" s="537"/>
      <c r="AA29" s="538"/>
      <c r="AB29" s="529">
        <f t="shared" si="2"/>
        <v>0</v>
      </c>
      <c r="AC29" s="530"/>
      <c r="AD29" s="530"/>
      <c r="AE29" s="531"/>
    </row>
    <row r="30" spans="1:35" s="26" customFormat="1" ht="18" customHeight="1">
      <c r="A30" s="523">
        <f>G9*40%</f>
        <v>80</v>
      </c>
      <c r="B30" s="524"/>
      <c r="C30" s="525"/>
      <c r="D30" s="487">
        <v>80</v>
      </c>
      <c r="E30" s="488"/>
      <c r="F30" s="488"/>
      <c r="G30" s="488"/>
      <c r="H30" s="487">
        <v>80</v>
      </c>
      <c r="I30" s="488"/>
      <c r="J30" s="488"/>
      <c r="K30" s="488"/>
      <c r="L30" s="487">
        <v>80</v>
      </c>
      <c r="M30" s="488"/>
      <c r="N30" s="488"/>
      <c r="O30" s="488"/>
      <c r="P30" s="487">
        <v>80</v>
      </c>
      <c r="Q30" s="488"/>
      <c r="R30" s="488"/>
      <c r="S30" s="488"/>
      <c r="T30" s="529">
        <f t="shared" si="0"/>
        <v>80</v>
      </c>
      <c r="U30" s="530"/>
      <c r="V30" s="530"/>
      <c r="W30" s="531"/>
      <c r="X30" s="539">
        <f t="shared" si="1"/>
        <v>0</v>
      </c>
      <c r="Y30" s="537"/>
      <c r="Z30" s="537"/>
      <c r="AA30" s="538"/>
      <c r="AB30" s="529">
        <f t="shared" si="2"/>
        <v>0</v>
      </c>
      <c r="AC30" s="530"/>
      <c r="AD30" s="530"/>
      <c r="AE30" s="531"/>
    </row>
    <row r="31" spans="1:35" s="26" customFormat="1" ht="18" customHeight="1">
      <c r="A31" s="523">
        <f>G9*50%</f>
        <v>100</v>
      </c>
      <c r="B31" s="524"/>
      <c r="C31" s="525"/>
      <c r="D31" s="487">
        <v>100</v>
      </c>
      <c r="E31" s="488"/>
      <c r="F31" s="488"/>
      <c r="G31" s="488"/>
      <c r="H31" s="487">
        <v>100</v>
      </c>
      <c r="I31" s="488"/>
      <c r="J31" s="488"/>
      <c r="K31" s="488"/>
      <c r="L31" s="487">
        <v>100</v>
      </c>
      <c r="M31" s="488"/>
      <c r="N31" s="488"/>
      <c r="O31" s="488"/>
      <c r="P31" s="487">
        <v>100</v>
      </c>
      <c r="Q31" s="488"/>
      <c r="R31" s="488"/>
      <c r="S31" s="488"/>
      <c r="T31" s="529">
        <f t="shared" si="0"/>
        <v>100</v>
      </c>
      <c r="U31" s="530"/>
      <c r="V31" s="530"/>
      <c r="W31" s="531"/>
      <c r="X31" s="539">
        <f t="shared" si="1"/>
        <v>0</v>
      </c>
      <c r="Y31" s="537"/>
      <c r="Z31" s="537"/>
      <c r="AA31" s="538"/>
      <c r="AB31" s="529">
        <f t="shared" si="2"/>
        <v>0</v>
      </c>
      <c r="AC31" s="530"/>
      <c r="AD31" s="530"/>
      <c r="AE31" s="531"/>
    </row>
    <row r="32" spans="1:35" s="26" customFormat="1" ht="18" customHeight="1">
      <c r="A32" s="523">
        <f>G9*60%</f>
        <v>120</v>
      </c>
      <c r="B32" s="524"/>
      <c r="C32" s="525"/>
      <c r="D32" s="487">
        <v>120</v>
      </c>
      <c r="E32" s="488"/>
      <c r="F32" s="488"/>
      <c r="G32" s="488"/>
      <c r="H32" s="487">
        <v>120</v>
      </c>
      <c r="I32" s="488"/>
      <c r="J32" s="488"/>
      <c r="K32" s="488"/>
      <c r="L32" s="487">
        <v>120</v>
      </c>
      <c r="M32" s="488"/>
      <c r="N32" s="488"/>
      <c r="O32" s="488"/>
      <c r="P32" s="487">
        <v>120</v>
      </c>
      <c r="Q32" s="488"/>
      <c r="R32" s="488"/>
      <c r="S32" s="488"/>
      <c r="T32" s="529">
        <f t="shared" si="0"/>
        <v>120</v>
      </c>
      <c r="U32" s="530"/>
      <c r="V32" s="530"/>
      <c r="W32" s="531"/>
      <c r="X32" s="539">
        <f t="shared" si="1"/>
        <v>0</v>
      </c>
      <c r="Y32" s="537"/>
      <c r="Z32" s="537"/>
      <c r="AA32" s="538"/>
      <c r="AB32" s="529">
        <f t="shared" si="2"/>
        <v>0</v>
      </c>
      <c r="AC32" s="530"/>
      <c r="AD32" s="530"/>
      <c r="AE32" s="531"/>
    </row>
    <row r="33" spans="1:33" s="26" customFormat="1" ht="18" customHeight="1">
      <c r="A33" s="523">
        <f>G9*70%</f>
        <v>140</v>
      </c>
      <c r="B33" s="524"/>
      <c r="C33" s="525"/>
      <c r="D33" s="487">
        <v>140</v>
      </c>
      <c r="E33" s="488"/>
      <c r="F33" s="488"/>
      <c r="G33" s="488"/>
      <c r="H33" s="487">
        <v>140</v>
      </c>
      <c r="I33" s="488"/>
      <c r="J33" s="488"/>
      <c r="K33" s="488"/>
      <c r="L33" s="487">
        <v>140</v>
      </c>
      <c r="M33" s="488"/>
      <c r="N33" s="488"/>
      <c r="O33" s="488"/>
      <c r="P33" s="487">
        <v>140</v>
      </c>
      <c r="Q33" s="488"/>
      <c r="R33" s="488"/>
      <c r="S33" s="488"/>
      <c r="T33" s="529">
        <f t="shared" si="0"/>
        <v>140</v>
      </c>
      <c r="U33" s="530"/>
      <c r="V33" s="530"/>
      <c r="W33" s="531"/>
      <c r="X33" s="539">
        <f t="shared" si="1"/>
        <v>0</v>
      </c>
      <c r="Y33" s="537"/>
      <c r="Z33" s="537"/>
      <c r="AA33" s="538"/>
      <c r="AB33" s="529">
        <f t="shared" si="2"/>
        <v>0</v>
      </c>
      <c r="AC33" s="530"/>
      <c r="AD33" s="530"/>
      <c r="AE33" s="531"/>
    </row>
    <row r="34" spans="1:33" s="26" customFormat="1" ht="18" customHeight="1">
      <c r="A34" s="523">
        <f>G9*80%</f>
        <v>160</v>
      </c>
      <c r="B34" s="524"/>
      <c r="C34" s="525"/>
      <c r="D34" s="487">
        <v>160</v>
      </c>
      <c r="E34" s="488"/>
      <c r="F34" s="488"/>
      <c r="G34" s="488"/>
      <c r="H34" s="487">
        <v>160</v>
      </c>
      <c r="I34" s="488"/>
      <c r="J34" s="488"/>
      <c r="K34" s="488"/>
      <c r="L34" s="487">
        <v>160</v>
      </c>
      <c r="M34" s="488"/>
      <c r="N34" s="488"/>
      <c r="O34" s="488"/>
      <c r="P34" s="487">
        <v>160</v>
      </c>
      <c r="Q34" s="488"/>
      <c r="R34" s="488"/>
      <c r="S34" s="488"/>
      <c r="T34" s="529">
        <f t="shared" si="0"/>
        <v>160</v>
      </c>
      <c r="U34" s="530"/>
      <c r="V34" s="530"/>
      <c r="W34" s="531"/>
      <c r="X34" s="539">
        <f t="shared" si="1"/>
        <v>0</v>
      </c>
      <c r="Y34" s="537"/>
      <c r="Z34" s="537"/>
      <c r="AA34" s="538"/>
      <c r="AB34" s="529">
        <f t="shared" si="2"/>
        <v>0</v>
      </c>
      <c r="AC34" s="530"/>
      <c r="AD34" s="530"/>
      <c r="AE34" s="531"/>
    </row>
    <row r="35" spans="1:33" s="26" customFormat="1" ht="18" customHeight="1">
      <c r="A35" s="523">
        <f>G9*90%</f>
        <v>180</v>
      </c>
      <c r="B35" s="524"/>
      <c r="C35" s="525"/>
      <c r="D35" s="487">
        <v>180</v>
      </c>
      <c r="E35" s="488"/>
      <c r="F35" s="488"/>
      <c r="G35" s="488"/>
      <c r="H35" s="487">
        <v>180</v>
      </c>
      <c r="I35" s="488"/>
      <c r="J35" s="488"/>
      <c r="K35" s="488"/>
      <c r="L35" s="487">
        <v>180</v>
      </c>
      <c r="M35" s="488"/>
      <c r="N35" s="488"/>
      <c r="O35" s="488"/>
      <c r="P35" s="487">
        <v>180</v>
      </c>
      <c r="Q35" s="488"/>
      <c r="R35" s="488"/>
      <c r="S35" s="488"/>
      <c r="T35" s="529">
        <f t="shared" si="0"/>
        <v>180</v>
      </c>
      <c r="U35" s="530"/>
      <c r="V35" s="530"/>
      <c r="W35" s="531"/>
      <c r="X35" s="539">
        <f t="shared" si="1"/>
        <v>0</v>
      </c>
      <c r="Y35" s="537"/>
      <c r="Z35" s="537"/>
      <c r="AA35" s="538"/>
      <c r="AB35" s="529">
        <f t="shared" si="2"/>
        <v>0</v>
      </c>
      <c r="AC35" s="530"/>
      <c r="AD35" s="530"/>
      <c r="AE35" s="531"/>
    </row>
    <row r="36" spans="1:33" s="26" customFormat="1" ht="18" customHeight="1">
      <c r="A36" s="514">
        <f>G9*100%</f>
        <v>200</v>
      </c>
      <c r="B36" s="515"/>
      <c r="C36" s="516"/>
      <c r="D36" s="509">
        <v>200</v>
      </c>
      <c r="E36" s="510"/>
      <c r="F36" s="510"/>
      <c r="G36" s="510"/>
      <c r="H36" s="509">
        <v>200</v>
      </c>
      <c r="I36" s="510"/>
      <c r="J36" s="510"/>
      <c r="K36" s="510"/>
      <c r="L36" s="509">
        <v>200</v>
      </c>
      <c r="M36" s="510"/>
      <c r="N36" s="510"/>
      <c r="O36" s="510"/>
      <c r="P36" s="509">
        <v>200</v>
      </c>
      <c r="Q36" s="510"/>
      <c r="R36" s="510"/>
      <c r="S36" s="510"/>
      <c r="T36" s="532">
        <f t="shared" si="0"/>
        <v>200</v>
      </c>
      <c r="U36" s="533"/>
      <c r="V36" s="533"/>
      <c r="W36" s="534"/>
      <c r="X36" s="543">
        <f t="shared" si="1"/>
        <v>0</v>
      </c>
      <c r="Y36" s="540"/>
      <c r="Z36" s="540"/>
      <c r="AA36" s="541"/>
      <c r="AB36" s="532">
        <f t="shared" si="2"/>
        <v>0</v>
      </c>
      <c r="AC36" s="533"/>
      <c r="AD36" s="533"/>
      <c r="AE36" s="534"/>
    </row>
    <row r="37" spans="1:33" s="26" customFormat="1" ht="18" customHeight="1">
      <c r="A37" s="173"/>
      <c r="B37" s="17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/>
      <c r="Q37" s="164"/>
      <c r="R37" s="167"/>
      <c r="S37" s="168"/>
      <c r="T37" s="168"/>
      <c r="U37" s="165"/>
      <c r="V37" s="166"/>
      <c r="W37" s="166"/>
      <c r="X37" s="161"/>
      <c r="Y37" s="161"/>
      <c r="Z37" s="161"/>
      <c r="AA37" s="38"/>
      <c r="AB37" s="32"/>
    </row>
    <row r="38" spans="1:33" s="26" customFormat="1" ht="18" customHeight="1">
      <c r="A38" s="33" t="s">
        <v>120</v>
      </c>
      <c r="B38" s="33"/>
      <c r="C38" s="33"/>
      <c r="D38" s="33"/>
      <c r="E38" s="33"/>
      <c r="F38" s="33"/>
      <c r="G38" s="33"/>
      <c r="H38" s="48"/>
      <c r="J38" s="26" t="s">
        <v>123</v>
      </c>
      <c r="U38" s="349"/>
      <c r="V38" s="349"/>
      <c r="W38" s="38"/>
      <c r="X38" s="38"/>
      <c r="Y38" s="38"/>
      <c r="Z38" s="38"/>
      <c r="AA38" s="38"/>
      <c r="AB38" s="41" t="s">
        <v>116</v>
      </c>
    </row>
    <row r="39" spans="1:33" ht="18" customHeight="1">
      <c r="A39" s="494" t="s">
        <v>52</v>
      </c>
      <c r="B39" s="495"/>
      <c r="C39" s="496"/>
      <c r="D39" s="497" t="s">
        <v>53</v>
      </c>
      <c r="E39" s="498"/>
      <c r="F39" s="498"/>
      <c r="G39" s="498"/>
      <c r="H39" s="498"/>
      <c r="I39" s="498"/>
      <c r="J39" s="498"/>
      <c r="K39" s="498"/>
      <c r="L39" s="498"/>
      <c r="M39" s="498"/>
      <c r="N39" s="498"/>
      <c r="O39" s="498"/>
      <c r="P39" s="498"/>
      <c r="Q39" s="498"/>
      <c r="R39" s="498"/>
      <c r="S39" s="499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</row>
    <row r="40" spans="1:33" ht="18" customHeight="1">
      <c r="A40" s="545">
        <f>G9/4</f>
        <v>50</v>
      </c>
      <c r="B40" s="546"/>
      <c r="C40" s="547"/>
      <c r="D40" s="497" t="s">
        <v>54</v>
      </c>
      <c r="E40" s="498"/>
      <c r="F40" s="498"/>
      <c r="G40" s="499"/>
      <c r="H40" s="497" t="s">
        <v>55</v>
      </c>
      <c r="I40" s="498"/>
      <c r="J40" s="498"/>
      <c r="K40" s="499"/>
      <c r="L40" s="497" t="s">
        <v>56</v>
      </c>
      <c r="M40" s="498"/>
      <c r="N40" s="498"/>
      <c r="O40" s="499"/>
      <c r="P40" s="497" t="s">
        <v>57</v>
      </c>
      <c r="Q40" s="498"/>
      <c r="R40" s="498"/>
      <c r="S40" s="499"/>
      <c r="T40" s="155"/>
      <c r="U40" s="155"/>
      <c r="V40" s="156"/>
      <c r="W40" s="156"/>
      <c r="X40" s="156"/>
      <c r="Y40" s="156"/>
      <c r="Z40" s="157"/>
      <c r="AA40" s="157"/>
      <c r="AB40" s="157"/>
      <c r="AC40" s="157"/>
      <c r="AD40" s="157"/>
    </row>
    <row r="41" spans="1:33" ht="18" customHeight="1">
      <c r="A41" s="548" t="s">
        <v>110</v>
      </c>
      <c r="B41" s="549"/>
      <c r="C41" s="550"/>
      <c r="D41" s="487">
        <v>50</v>
      </c>
      <c r="E41" s="488"/>
      <c r="F41" s="488"/>
      <c r="G41" s="489"/>
      <c r="H41" s="487">
        <v>50</v>
      </c>
      <c r="I41" s="488"/>
      <c r="J41" s="488"/>
      <c r="K41" s="489"/>
      <c r="L41" s="487">
        <v>50</v>
      </c>
      <c r="M41" s="488"/>
      <c r="N41" s="488"/>
      <c r="O41" s="489"/>
      <c r="P41" s="487">
        <v>50</v>
      </c>
      <c r="Q41" s="488"/>
      <c r="R41" s="488"/>
      <c r="S41" s="489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" customHeight="1">
      <c r="A42" s="551" t="s">
        <v>111</v>
      </c>
      <c r="B42" s="551"/>
      <c r="C42" s="551"/>
      <c r="D42" s="487">
        <v>50</v>
      </c>
      <c r="E42" s="488"/>
      <c r="F42" s="488"/>
      <c r="G42" s="489"/>
      <c r="H42" s="487">
        <v>50</v>
      </c>
      <c r="I42" s="488"/>
      <c r="J42" s="488"/>
      <c r="K42" s="489"/>
      <c r="L42" s="487">
        <v>50</v>
      </c>
      <c r="M42" s="488"/>
      <c r="N42" s="488"/>
      <c r="O42" s="489"/>
      <c r="P42" s="487">
        <v>50</v>
      </c>
      <c r="Q42" s="488"/>
      <c r="R42" s="488"/>
      <c r="S42" s="489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" customHeight="1">
      <c r="A43" s="551" t="s">
        <v>112</v>
      </c>
      <c r="B43" s="551"/>
      <c r="C43" s="551"/>
      <c r="D43" s="487">
        <v>50</v>
      </c>
      <c r="E43" s="488"/>
      <c r="F43" s="488"/>
      <c r="G43" s="489"/>
      <c r="H43" s="487">
        <v>50</v>
      </c>
      <c r="I43" s="488"/>
      <c r="J43" s="488"/>
      <c r="K43" s="489"/>
      <c r="L43" s="487">
        <v>50</v>
      </c>
      <c r="M43" s="488"/>
      <c r="N43" s="488"/>
      <c r="O43" s="489"/>
      <c r="P43" s="487">
        <v>50</v>
      </c>
      <c r="Q43" s="488"/>
      <c r="R43" s="488"/>
      <c r="S43" s="489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" customHeight="1">
      <c r="A44" s="551" t="s">
        <v>113</v>
      </c>
      <c r="B44" s="551"/>
      <c r="C44" s="551"/>
      <c r="D44" s="487">
        <v>50</v>
      </c>
      <c r="E44" s="488"/>
      <c r="F44" s="488"/>
      <c r="G44" s="489"/>
      <c r="H44" s="487">
        <v>50</v>
      </c>
      <c r="I44" s="488"/>
      <c r="J44" s="488"/>
      <c r="K44" s="489"/>
      <c r="L44" s="487">
        <v>50</v>
      </c>
      <c r="M44" s="488"/>
      <c r="N44" s="488"/>
      <c r="O44" s="489"/>
      <c r="P44" s="487">
        <v>50</v>
      </c>
      <c r="Q44" s="488"/>
      <c r="R44" s="488"/>
      <c r="S44" s="489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" customHeight="1">
      <c r="A45" s="552" t="s">
        <v>114</v>
      </c>
      <c r="B45" s="552"/>
      <c r="C45" s="552"/>
      <c r="D45" s="509">
        <v>50</v>
      </c>
      <c r="E45" s="510"/>
      <c r="F45" s="510"/>
      <c r="G45" s="544"/>
      <c r="H45" s="509">
        <v>50</v>
      </c>
      <c r="I45" s="510"/>
      <c r="J45" s="510"/>
      <c r="K45" s="544"/>
      <c r="L45" s="509">
        <v>50</v>
      </c>
      <c r="M45" s="510"/>
      <c r="N45" s="510"/>
      <c r="O45" s="544"/>
      <c r="P45" s="509">
        <v>50</v>
      </c>
      <c r="Q45" s="510"/>
      <c r="R45" s="510"/>
      <c r="S45" s="544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" customHeight="1">
      <c r="A46" s="553" t="s">
        <v>59</v>
      </c>
      <c r="B46" s="554"/>
      <c r="C46" s="554"/>
      <c r="D46" s="554"/>
      <c r="E46" s="555">
        <f>MAX(D41:S45)-MIN(D41:S45)</f>
        <v>0</v>
      </c>
      <c r="F46" s="556"/>
      <c r="G46" s="557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A49" s="218" t="s">
        <v>60</v>
      </c>
      <c r="B49" s="218"/>
      <c r="C49" s="218"/>
      <c r="D49" s="218"/>
      <c r="E49" s="46"/>
      <c r="F49" s="51" t="str">
        <f>F52</f>
        <v>Mr.Nirut  Loha</v>
      </c>
      <c r="G49" s="51"/>
      <c r="H49" s="51"/>
      <c r="I49" s="51"/>
      <c r="J49" s="51"/>
      <c r="K49" s="51"/>
      <c r="L49" s="52"/>
      <c r="M49" s="5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53"/>
      <c r="B50" s="53"/>
      <c r="C50" s="53"/>
      <c r="D50" s="53"/>
      <c r="E50" s="46"/>
      <c r="F50" s="54"/>
      <c r="G50" s="54"/>
      <c r="H50" s="54"/>
      <c r="I50" s="54"/>
      <c r="J50" s="54"/>
      <c r="K50" s="54"/>
      <c r="L50" s="55"/>
      <c r="M50" s="55"/>
    </row>
    <row r="52" spans="1:33" ht="18.75" customHeight="1">
      <c r="D52" s="47"/>
      <c r="E52" s="47"/>
      <c r="F52" s="35" t="s">
        <v>189</v>
      </c>
      <c r="G52" s="45"/>
      <c r="H52" s="46"/>
    </row>
    <row r="53" spans="1:33" ht="18.75" customHeight="1">
      <c r="F53" s="35" t="s">
        <v>190</v>
      </c>
    </row>
    <row r="54" spans="1:33" ht="18.75" customHeight="1">
      <c r="F54" s="35" t="s">
        <v>191</v>
      </c>
    </row>
    <row r="55" spans="1:33" ht="18.75" customHeight="1">
      <c r="F55" s="35" t="s">
        <v>192</v>
      </c>
    </row>
    <row r="56" spans="1:33" ht="18.75" customHeight="1">
      <c r="F56" s="35" t="s">
        <v>193</v>
      </c>
    </row>
  </sheetData>
  <mergeCells count="184">
    <mergeCell ref="L45:O45"/>
    <mergeCell ref="P45:S45"/>
    <mergeCell ref="D44:G44"/>
    <mergeCell ref="H44:K44"/>
    <mergeCell ref="L44:O44"/>
    <mergeCell ref="P44:S44"/>
    <mergeCell ref="A46:D46"/>
    <mergeCell ref="E46:G46"/>
    <mergeCell ref="A36:C36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A45:C45"/>
    <mergeCell ref="A44:C44"/>
    <mergeCell ref="D45:G45"/>
    <mergeCell ref="H45:K45"/>
    <mergeCell ref="A40:C40"/>
    <mergeCell ref="A43:C43"/>
    <mergeCell ref="A42:C42"/>
    <mergeCell ref="A41:C41"/>
    <mergeCell ref="D28:G28"/>
    <mergeCell ref="D29:G29"/>
    <mergeCell ref="D30:G30"/>
    <mergeCell ref="D31:G31"/>
    <mergeCell ref="D32:G32"/>
    <mergeCell ref="D33:G33"/>
    <mergeCell ref="U38:V38"/>
    <mergeCell ref="P42:S42"/>
    <mergeCell ref="D43:G43"/>
    <mergeCell ref="H43:K43"/>
    <mergeCell ref="L43:O43"/>
    <mergeCell ref="P43:S43"/>
    <mergeCell ref="D9:E9"/>
    <mergeCell ref="G9:H9"/>
    <mergeCell ref="O9:R9"/>
    <mergeCell ref="U12:Z12"/>
    <mergeCell ref="W17:X17"/>
    <mergeCell ref="Y17:Z17"/>
    <mergeCell ref="A24:C24"/>
    <mergeCell ref="A25:C25"/>
    <mergeCell ref="A33:C33"/>
    <mergeCell ref="A32:C32"/>
    <mergeCell ref="A31:C31"/>
    <mergeCell ref="A30:C30"/>
    <mergeCell ref="A29:C29"/>
    <mergeCell ref="A28:C28"/>
    <mergeCell ref="A27:C27"/>
    <mergeCell ref="D25:G25"/>
    <mergeCell ref="H25:K25"/>
    <mergeCell ref="P25:S25"/>
    <mergeCell ref="H30:K30"/>
    <mergeCell ref="H31:K31"/>
    <mergeCell ref="H32:K32"/>
    <mergeCell ref="H33:K33"/>
    <mergeCell ref="L27:O27"/>
    <mergeCell ref="L28:O28"/>
    <mergeCell ref="L29:O29"/>
    <mergeCell ref="L30:O30"/>
    <mergeCell ref="L25:O25"/>
    <mergeCell ref="D27:G27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H27:K27"/>
    <mergeCell ref="H28:K28"/>
    <mergeCell ref="H29:K29"/>
    <mergeCell ref="L34:O34"/>
    <mergeCell ref="L35:O35"/>
    <mergeCell ref="L36:O36"/>
    <mergeCell ref="D42:G42"/>
    <mergeCell ref="H42:K42"/>
    <mergeCell ref="L42:O42"/>
    <mergeCell ref="L31:O31"/>
    <mergeCell ref="L32:O32"/>
    <mergeCell ref="L33:O33"/>
    <mergeCell ref="P27:S27"/>
    <mergeCell ref="P28:S28"/>
    <mergeCell ref="P29:S29"/>
    <mergeCell ref="P30:S30"/>
    <mergeCell ref="P31:S31"/>
    <mergeCell ref="P32:S32"/>
    <mergeCell ref="P33:S33"/>
    <mergeCell ref="AB24:AE25"/>
    <mergeCell ref="T24:W25"/>
    <mergeCell ref="T35:W35"/>
    <mergeCell ref="T36:W36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X18:AA19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D24:S24"/>
    <mergeCell ref="X24:AA25"/>
    <mergeCell ref="P34:S3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X36:AA36"/>
    <mergeCell ref="T34:W34"/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8" zoomScaleNormal="100" zoomScaleSheetLayoutView="100" workbookViewId="0">
      <selection activeCell="V39" sqref="V39:AC39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353" t="s">
        <v>73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  <c r="AD3" s="353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4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5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355">
        <f>Data!P8</f>
        <v>1234567</v>
      </c>
      <c r="K15" s="355"/>
      <c r="L15" s="355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9" t="s">
        <v>134</v>
      </c>
      <c r="L19" s="182"/>
      <c r="M19" s="198"/>
      <c r="Q19" s="67"/>
      <c r="R19" s="193" t="s">
        <v>82</v>
      </c>
      <c r="Z19" s="88" t="s">
        <v>75</v>
      </c>
      <c r="AA19" s="356">
        <f>Data!Q2</f>
        <v>42459</v>
      </c>
      <c r="AB19" s="356"/>
      <c r="AC19" s="356"/>
      <c r="AD19" s="356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200" t="s">
        <v>135</v>
      </c>
      <c r="L20" s="182"/>
      <c r="M20" s="201"/>
      <c r="Q20" s="67"/>
      <c r="R20" s="193" t="s">
        <v>83</v>
      </c>
      <c r="Z20" s="88" t="s">
        <v>75</v>
      </c>
      <c r="AA20" s="356">
        <f>Data!Z2</f>
        <v>42459</v>
      </c>
      <c r="AB20" s="356"/>
      <c r="AC20" s="356"/>
      <c r="AD20" s="356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9" t="s">
        <v>136</v>
      </c>
      <c r="L21" s="182"/>
      <c r="M21" s="70"/>
      <c r="Q21" s="67"/>
      <c r="R21" s="178" t="s">
        <v>84</v>
      </c>
      <c r="Z21" s="88" t="s">
        <v>75</v>
      </c>
      <c r="AA21" s="357">
        <f>AA20+365</f>
        <v>42824</v>
      </c>
      <c r="AB21" s="357"/>
      <c r="AC21" s="357"/>
      <c r="AD21" s="357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32"/>
      <c r="Y22" s="332"/>
      <c r="Z22" s="88" t="s">
        <v>75</v>
      </c>
      <c r="AA22" s="360">
        <f>AA20+1</f>
        <v>42460</v>
      </c>
      <c r="AB22" s="360"/>
      <c r="AC22" s="360"/>
      <c r="AD22" s="360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126</v>
      </c>
      <c r="D29" s="65"/>
    </row>
    <row r="30" spans="1:36" s="58" customFormat="1" ht="24" customHeight="1">
      <c r="A30" s="59"/>
      <c r="B30" s="59"/>
      <c r="C30" s="203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8" t="str">
        <f>Data!F49</f>
        <v>Mr.Nirut  Loha</v>
      </c>
      <c r="I36" s="182"/>
      <c r="L36" s="182"/>
      <c r="M36" s="182"/>
      <c r="N36" s="178"/>
      <c r="Q36" s="178" t="s">
        <v>91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188</v>
      </c>
      <c r="J38" s="209"/>
      <c r="K38" s="182"/>
      <c r="L38" s="182"/>
      <c r="M38" s="182"/>
      <c r="N38" s="182"/>
      <c r="O38" s="182"/>
      <c r="P38" s="210"/>
      <c r="Q38" s="211">
        <v>3</v>
      </c>
      <c r="R38" s="182"/>
      <c r="V38" s="358" t="s">
        <v>194</v>
      </c>
      <c r="W38" s="358"/>
      <c r="X38" s="358"/>
      <c r="Y38" s="358"/>
      <c r="Z38" s="358"/>
      <c r="AA38" s="358"/>
      <c r="AB38" s="358"/>
      <c r="AC38" s="358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359" t="s">
        <v>92</v>
      </c>
      <c r="W39" s="359"/>
      <c r="X39" s="359"/>
      <c r="Y39" s="359"/>
      <c r="Z39" s="359"/>
      <c r="AA39" s="359"/>
      <c r="AB39" s="359"/>
      <c r="AC39" s="359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111"/>
    </row>
    <row r="42" spans="1:36" ht="18.75" customHeight="1">
      <c r="C42" s="107"/>
      <c r="D42" s="212"/>
      <c r="T42" s="34"/>
      <c r="U42" s="215"/>
    </row>
    <row r="43" spans="1:36" ht="18.75" customHeight="1">
      <c r="C43" s="177"/>
      <c r="D43" s="212"/>
      <c r="T43" s="107"/>
      <c r="U43" s="212"/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B12" sqref="B12:U12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364" t="s">
        <v>93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365" t="s">
        <v>130</v>
      </c>
      <c r="H8" s="365"/>
      <c r="I8" s="365"/>
      <c r="J8" s="365"/>
      <c r="K8" s="365"/>
      <c r="L8" s="365"/>
      <c r="M8" s="365"/>
      <c r="N8" s="365"/>
      <c r="O8" s="365"/>
      <c r="P8" s="365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361" t="s">
        <v>77</v>
      </c>
      <c r="C11" s="362"/>
      <c r="D11" s="362"/>
      <c r="E11" s="362"/>
      <c r="F11" s="362"/>
      <c r="G11" s="363"/>
      <c r="H11" s="361" t="s">
        <v>79</v>
      </c>
      <c r="I11" s="362"/>
      <c r="J11" s="363"/>
      <c r="K11" s="361" t="s">
        <v>96</v>
      </c>
      <c r="L11" s="362"/>
      <c r="M11" s="363"/>
      <c r="N11" s="361" t="s">
        <v>97</v>
      </c>
      <c r="O11" s="362"/>
      <c r="P11" s="362"/>
      <c r="Q11" s="363"/>
      <c r="R11" s="361" t="s">
        <v>98</v>
      </c>
      <c r="S11" s="362"/>
      <c r="T11" s="362"/>
      <c r="U11" s="363"/>
      <c r="W11" s="87"/>
    </row>
    <row r="12" spans="1:36" s="58" customFormat="1" ht="23.1" customHeight="1">
      <c r="A12" s="59"/>
      <c r="B12" s="366" t="s">
        <v>183</v>
      </c>
      <c r="C12" s="367"/>
      <c r="D12" s="367"/>
      <c r="E12" s="367"/>
      <c r="F12" s="367"/>
      <c r="G12" s="368"/>
      <c r="H12" s="366" t="s">
        <v>184</v>
      </c>
      <c r="I12" s="367"/>
      <c r="J12" s="368"/>
      <c r="K12" s="369" t="s">
        <v>185</v>
      </c>
      <c r="L12" s="370"/>
      <c r="M12" s="371"/>
      <c r="N12" s="366" t="s">
        <v>187</v>
      </c>
      <c r="O12" s="367"/>
      <c r="P12" s="367"/>
      <c r="Q12" s="368"/>
      <c r="R12" s="372" t="s">
        <v>186</v>
      </c>
      <c r="S12" s="373"/>
      <c r="T12" s="373"/>
      <c r="U12" s="374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375"/>
      <c r="K18" s="376"/>
      <c r="L18" s="376"/>
      <c r="M18" s="376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376"/>
      <c r="K19" s="376"/>
      <c r="L19" s="376"/>
      <c r="M19" s="376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377"/>
      <c r="G38" s="377"/>
      <c r="H38" s="377"/>
      <c r="I38" s="377"/>
      <c r="J38" s="141"/>
      <c r="K38" s="74"/>
      <c r="L38" s="378"/>
      <c r="M38" s="378"/>
      <c r="N38" s="378"/>
      <c r="O38" s="378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379"/>
      <c r="Q40" s="379"/>
      <c r="R40" s="379"/>
      <c r="S40" s="379"/>
      <c r="T40" s="379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380"/>
      <c r="E41" s="380"/>
      <c r="F41" s="380"/>
      <c r="G41" s="380"/>
      <c r="H41" s="380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A42:T42"/>
    <mergeCell ref="J18:M18"/>
    <mergeCell ref="J19:M19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  <mergeCell ref="H11:J11"/>
    <mergeCell ref="B11:G11"/>
    <mergeCell ref="A3:V3"/>
    <mergeCell ref="R11:U11"/>
    <mergeCell ref="N11:Q11"/>
    <mergeCell ref="K11:M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topLeftCell="A10" zoomScaleNormal="100" zoomScaleSheetLayoutView="100" workbookViewId="0">
      <selection activeCell="C38" sqref="C38:Y38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11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</row>
    <row r="2" spans="1:33" s="145" customFormat="1" ht="18" customHeight="1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AA2" s="146"/>
      <c r="AB2" s="146"/>
      <c r="AC2" s="146"/>
      <c r="AD2" s="146"/>
      <c r="AE2" s="146"/>
    </row>
    <row r="3" spans="1:33" s="145" customFormat="1" ht="34.5" customHeight="1">
      <c r="A3" s="385" t="s">
        <v>103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219"/>
      <c r="AA3" s="146"/>
      <c r="AB3" s="146"/>
      <c r="AC3" s="146"/>
      <c r="AD3" s="146"/>
      <c r="AE3" s="146"/>
    </row>
    <row r="4" spans="1:33" s="145" customFormat="1" ht="12" customHeight="1">
      <c r="A4" s="311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AA4" s="147"/>
      <c r="AB4" s="147"/>
      <c r="AC4" s="147"/>
      <c r="AD4" s="147"/>
      <c r="AE4" s="147"/>
    </row>
    <row r="5" spans="1:33" ht="18" customHeight="1">
      <c r="A5" s="312"/>
      <c r="B5" s="312"/>
      <c r="C5" s="313" t="s">
        <v>35</v>
      </c>
      <c r="D5" s="311"/>
      <c r="E5" s="311"/>
      <c r="F5" s="312"/>
      <c r="G5" s="312"/>
      <c r="H5" s="314" t="str">
        <f>cert</f>
        <v>SPR17xxxx</v>
      </c>
      <c r="I5" s="311"/>
      <c r="J5" s="311"/>
      <c r="K5" s="311"/>
      <c r="L5" s="311"/>
      <c r="M5" s="311"/>
      <c r="N5" s="311"/>
      <c r="O5" s="312"/>
      <c r="P5" s="315"/>
      <c r="Q5" s="315"/>
      <c r="R5" s="315"/>
      <c r="S5" s="312"/>
      <c r="T5" s="312"/>
      <c r="U5" s="312"/>
      <c r="V5" s="316" t="s">
        <v>104</v>
      </c>
      <c r="W5" s="317"/>
      <c r="X5" s="312"/>
      <c r="Y5" s="312"/>
      <c r="AA5" s="147"/>
      <c r="AB5" s="147"/>
      <c r="AC5" s="147"/>
      <c r="AD5" s="147"/>
      <c r="AE5" s="147"/>
    </row>
    <row r="6" spans="1:33" ht="18" customHeight="1">
      <c r="A6" s="312"/>
      <c r="B6" s="312"/>
      <c r="C6" s="313"/>
      <c r="D6" s="311"/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2"/>
      <c r="Q6" s="312"/>
      <c r="R6" s="312"/>
      <c r="S6" s="312"/>
      <c r="T6" s="312"/>
      <c r="U6" s="312"/>
      <c r="V6" s="312"/>
      <c r="W6" s="311"/>
      <c r="X6" s="311"/>
      <c r="Y6" s="312"/>
    </row>
    <row r="7" spans="1:33" ht="18" customHeight="1">
      <c r="A7" s="312"/>
      <c r="B7" s="312"/>
      <c r="C7" s="311" t="str">
        <f>Data!A17</f>
        <v>Repeatability ( n = 10 number of measurement )</v>
      </c>
      <c r="D7" s="311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1"/>
      <c r="X7" s="311"/>
      <c r="Y7" s="312"/>
    </row>
    <row r="8" spans="1:33" ht="18" customHeight="1">
      <c r="A8" s="312"/>
      <c r="B8" s="312"/>
      <c r="C8" s="312"/>
      <c r="D8" s="312"/>
      <c r="E8" s="312"/>
      <c r="F8" s="386" t="s">
        <v>99</v>
      </c>
      <c r="G8" s="387"/>
      <c r="H8" s="388"/>
      <c r="I8" s="386" t="s">
        <v>118</v>
      </c>
      <c r="J8" s="387"/>
      <c r="K8" s="388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1"/>
      <c r="X8" s="311"/>
      <c r="Y8" s="312"/>
    </row>
    <row r="9" spans="1:33" ht="18" customHeight="1">
      <c r="A9" s="312"/>
      <c r="B9" s="312"/>
      <c r="C9" s="312"/>
      <c r="D9" s="312"/>
      <c r="E9" s="312"/>
      <c r="F9" s="389"/>
      <c r="G9" s="390"/>
      <c r="H9" s="391"/>
      <c r="I9" s="389"/>
      <c r="J9" s="390"/>
      <c r="K9" s="391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1"/>
      <c r="X9" s="311"/>
      <c r="Y9" s="312"/>
    </row>
    <row r="10" spans="1:33" ht="23.1" customHeight="1">
      <c r="A10" s="312"/>
      <c r="B10" s="312"/>
      <c r="C10" s="311"/>
      <c r="D10" s="312"/>
      <c r="E10" s="312"/>
      <c r="F10" s="442">
        <f>setm10</f>
        <v>200</v>
      </c>
      <c r="G10" s="443"/>
      <c r="H10" s="318" t="str">
        <f>Data!I9</f>
        <v>g</v>
      </c>
      <c r="I10" s="444">
        <f>stdevm</f>
        <v>0</v>
      </c>
      <c r="J10" s="445"/>
      <c r="K10" s="319" t="str">
        <f>H10</f>
        <v>g</v>
      </c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1"/>
      <c r="X10" s="311"/>
      <c r="Y10" s="312"/>
    </row>
    <row r="11" spans="1:33" ht="18" customHeight="1">
      <c r="A11" s="312"/>
      <c r="B11" s="312"/>
      <c r="C11" s="311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1"/>
      <c r="X11" s="311"/>
      <c r="Y11" s="312"/>
    </row>
    <row r="12" spans="1:33" ht="18" customHeight="1">
      <c r="A12" s="312"/>
      <c r="B12" s="312"/>
      <c r="C12" s="312"/>
      <c r="D12" s="312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2"/>
      <c r="Q12" s="312"/>
      <c r="R12" s="312"/>
      <c r="S12" s="312"/>
      <c r="T12" s="312"/>
      <c r="U12" s="312"/>
      <c r="V12" s="312"/>
      <c r="W12" s="311"/>
      <c r="X12" s="311"/>
      <c r="Y12" s="312"/>
    </row>
    <row r="13" spans="1:33" ht="18" customHeight="1">
      <c r="A13" s="312"/>
      <c r="B13" s="312"/>
      <c r="C13" s="312" t="str">
        <f>Data!A23</f>
        <v xml:space="preserve">Departure of indication from nominal Value </v>
      </c>
      <c r="D13" s="312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2"/>
      <c r="Q13" s="312"/>
      <c r="R13" s="312"/>
      <c r="S13" s="446" t="s">
        <v>142</v>
      </c>
      <c r="T13" s="446"/>
      <c r="U13" s="320" t="str">
        <f>Data!I9</f>
        <v>g</v>
      </c>
      <c r="V13" s="312"/>
      <c r="W13" s="311"/>
      <c r="X13" s="311"/>
      <c r="Y13" s="312"/>
    </row>
    <row r="14" spans="1:33" ht="18" customHeight="1">
      <c r="A14" s="312"/>
      <c r="B14" s="312"/>
      <c r="C14" s="312"/>
      <c r="D14" s="312"/>
      <c r="E14" s="312"/>
      <c r="F14" s="427" t="s">
        <v>143</v>
      </c>
      <c r="G14" s="428"/>
      <c r="H14" s="428"/>
      <c r="I14" s="429"/>
      <c r="J14" s="427" t="s">
        <v>144</v>
      </c>
      <c r="K14" s="431"/>
      <c r="L14" s="431"/>
      <c r="M14" s="432"/>
      <c r="N14" s="430" t="s">
        <v>72</v>
      </c>
      <c r="O14" s="428"/>
      <c r="P14" s="428"/>
      <c r="Q14" s="429"/>
      <c r="R14" s="427" t="s">
        <v>173</v>
      </c>
      <c r="S14" s="431"/>
      <c r="T14" s="431"/>
      <c r="U14" s="432"/>
      <c r="V14" s="312"/>
      <c r="W14" s="312"/>
      <c r="X14" s="312"/>
      <c r="Y14" s="312"/>
      <c r="Z14" s="382" t="s">
        <v>22</v>
      </c>
      <c r="AA14" s="382"/>
      <c r="AB14" s="382"/>
      <c r="AC14" s="382"/>
    </row>
    <row r="15" spans="1:33" ht="18" customHeight="1">
      <c r="A15" s="312"/>
      <c r="B15" s="312"/>
      <c r="C15" s="312"/>
      <c r="D15" s="312"/>
      <c r="E15" s="312"/>
      <c r="F15" s="424"/>
      <c r="G15" s="425"/>
      <c r="H15" s="425"/>
      <c r="I15" s="426"/>
      <c r="J15" s="433"/>
      <c r="K15" s="434"/>
      <c r="L15" s="434"/>
      <c r="M15" s="435"/>
      <c r="N15" s="424"/>
      <c r="O15" s="425"/>
      <c r="P15" s="425"/>
      <c r="Q15" s="426"/>
      <c r="R15" s="433"/>
      <c r="S15" s="434"/>
      <c r="T15" s="434"/>
      <c r="U15" s="435"/>
      <c r="V15" s="312"/>
      <c r="W15" s="312"/>
      <c r="X15" s="312"/>
      <c r="Y15" s="312"/>
      <c r="Z15" s="447" t="s">
        <v>9</v>
      </c>
      <c r="AA15" s="448"/>
      <c r="AB15" s="448"/>
      <c r="AC15" s="449"/>
      <c r="AF15" s="262" t="s">
        <v>147</v>
      </c>
      <c r="AG15" s="262" t="s">
        <v>170</v>
      </c>
    </row>
    <row r="16" spans="1:33" ht="18" customHeight="1">
      <c r="A16" s="312"/>
      <c r="B16" s="312"/>
      <c r="C16" s="312"/>
      <c r="D16" s="312"/>
      <c r="E16" s="312"/>
      <c r="F16" s="430">
        <f>setm0</f>
        <v>0</v>
      </c>
      <c r="G16" s="428"/>
      <c r="H16" s="428"/>
      <c r="I16" s="429"/>
      <c r="J16" s="436">
        <f>uucav0</f>
        <v>0</v>
      </c>
      <c r="K16" s="437"/>
      <c r="L16" s="437"/>
      <c r="M16" s="438"/>
      <c r="N16" s="436">
        <f>eror0</f>
        <v>0</v>
      </c>
      <c r="O16" s="437"/>
      <c r="P16" s="437"/>
      <c r="Q16" s="438"/>
      <c r="R16" s="439">
        <f>IF(Z16&gt;=AG16,Z16,AG16)</f>
        <v>0.96000000000000008</v>
      </c>
      <c r="S16" s="440"/>
      <c r="T16" s="440"/>
      <c r="U16" s="441"/>
      <c r="V16" s="312"/>
      <c r="W16" s="312"/>
      <c r="X16" s="312"/>
      <c r="Y16" s="312"/>
      <c r="Z16" s="450">
        <f>ucer0*1000</f>
        <v>0.96000000000000008</v>
      </c>
      <c r="AA16" s="451"/>
      <c r="AB16" s="451"/>
      <c r="AC16" s="452"/>
      <c r="AF16" s="265" t="s">
        <v>178</v>
      </c>
      <c r="AG16" s="264">
        <v>0.04</v>
      </c>
    </row>
    <row r="17" spans="1:43" ht="21" customHeight="1">
      <c r="A17" s="312"/>
      <c r="B17" s="312"/>
      <c r="C17" s="321"/>
      <c r="D17" s="321"/>
      <c r="E17" s="312"/>
      <c r="F17" s="421">
        <f>setm1</f>
        <v>20</v>
      </c>
      <c r="G17" s="422"/>
      <c r="H17" s="422"/>
      <c r="I17" s="423"/>
      <c r="J17" s="418">
        <f>uucav1</f>
        <v>20</v>
      </c>
      <c r="K17" s="419"/>
      <c r="L17" s="419"/>
      <c r="M17" s="420"/>
      <c r="N17" s="418">
        <f>eror1</f>
        <v>0</v>
      </c>
      <c r="O17" s="419"/>
      <c r="P17" s="419"/>
      <c r="Q17" s="420"/>
      <c r="R17" s="412">
        <f>IF(Z17&gt;=AG17,Z17,AG17)</f>
        <v>0.96000000000000008</v>
      </c>
      <c r="S17" s="413"/>
      <c r="T17" s="413"/>
      <c r="U17" s="414"/>
      <c r="V17" s="312"/>
      <c r="W17" s="312"/>
      <c r="X17" s="312"/>
      <c r="Y17" s="312"/>
      <c r="Z17" s="450">
        <f>ucer1*1000</f>
        <v>0.96000000000000008</v>
      </c>
      <c r="AA17" s="451"/>
      <c r="AB17" s="451"/>
      <c r="AC17" s="452"/>
      <c r="AD17" s="263"/>
      <c r="AE17" s="263"/>
      <c r="AF17" s="267"/>
      <c r="AG17" s="264">
        <v>0.05</v>
      </c>
      <c r="AJ17" s="148">
        <f t="shared" ref="AJ17:AJ26" si="0">kfac1</f>
        <v>3.31</v>
      </c>
    </row>
    <row r="18" spans="1:43" ht="21" customHeight="1">
      <c r="A18" s="312"/>
      <c r="B18" s="312"/>
      <c r="C18" s="311"/>
      <c r="D18" s="312"/>
      <c r="E18" s="312"/>
      <c r="F18" s="421">
        <f>setm2</f>
        <v>40</v>
      </c>
      <c r="G18" s="422"/>
      <c r="H18" s="422"/>
      <c r="I18" s="423"/>
      <c r="J18" s="418">
        <f>uucav2</f>
        <v>40</v>
      </c>
      <c r="K18" s="419"/>
      <c r="L18" s="419"/>
      <c r="M18" s="420"/>
      <c r="N18" s="418">
        <f>eror2</f>
        <v>0</v>
      </c>
      <c r="O18" s="419"/>
      <c r="P18" s="419"/>
      <c r="Q18" s="420"/>
      <c r="R18" s="412">
        <f t="shared" ref="R18" si="1">IF(Z18&gt;=AG18,Z18,AG18)</f>
        <v>0.96000000000000008</v>
      </c>
      <c r="S18" s="413"/>
      <c r="T18" s="413"/>
      <c r="U18" s="414"/>
      <c r="V18" s="312"/>
      <c r="W18" s="312"/>
      <c r="X18" s="312"/>
      <c r="Y18" s="312"/>
      <c r="Z18" s="450">
        <f>ucer2*1000</f>
        <v>0.96000000000000008</v>
      </c>
      <c r="AA18" s="451"/>
      <c r="AB18" s="451"/>
      <c r="AC18" s="452"/>
      <c r="AD18" s="263"/>
      <c r="AE18" s="263"/>
      <c r="AF18" s="267"/>
      <c r="AG18" s="270">
        <v>0.08</v>
      </c>
      <c r="AJ18" s="148">
        <f t="shared" si="0"/>
        <v>3.31</v>
      </c>
    </row>
    <row r="19" spans="1:43" ht="21" customHeight="1">
      <c r="A19" s="312"/>
      <c r="B19" s="312"/>
      <c r="C19" s="311"/>
      <c r="D19" s="312"/>
      <c r="E19" s="312"/>
      <c r="F19" s="421">
        <f>setm3</f>
        <v>60</v>
      </c>
      <c r="G19" s="422"/>
      <c r="H19" s="422"/>
      <c r="I19" s="423"/>
      <c r="J19" s="418">
        <f>uucav3</f>
        <v>60</v>
      </c>
      <c r="K19" s="419"/>
      <c r="L19" s="419"/>
      <c r="M19" s="420"/>
      <c r="N19" s="418">
        <f>eror3</f>
        <v>0</v>
      </c>
      <c r="O19" s="419"/>
      <c r="P19" s="419"/>
      <c r="Q19" s="420"/>
      <c r="R19" s="412">
        <f t="shared" ref="R19:R26" si="2">IF(Z19&gt;=AG19,Z19,AG19)</f>
        <v>0.97000000000000008</v>
      </c>
      <c r="S19" s="413"/>
      <c r="T19" s="413"/>
      <c r="U19" s="414"/>
      <c r="V19" s="312"/>
      <c r="W19" s="312"/>
      <c r="X19" s="312"/>
      <c r="Y19" s="312"/>
      <c r="Z19" s="450">
        <f>ucer3*1000</f>
        <v>0.97000000000000008</v>
      </c>
      <c r="AA19" s="451"/>
      <c r="AB19" s="451"/>
      <c r="AC19" s="452"/>
      <c r="AD19" s="263"/>
      <c r="AE19" s="263"/>
      <c r="AF19" s="267"/>
      <c r="AG19" s="270">
        <v>0.11</v>
      </c>
      <c r="AJ19" s="148">
        <f t="shared" si="0"/>
        <v>3.31</v>
      </c>
    </row>
    <row r="20" spans="1:43" ht="21" customHeight="1">
      <c r="A20" s="312"/>
      <c r="B20" s="312"/>
      <c r="C20" s="311"/>
      <c r="D20" s="312"/>
      <c r="E20" s="312"/>
      <c r="F20" s="421">
        <f>setm4</f>
        <v>80</v>
      </c>
      <c r="G20" s="422"/>
      <c r="H20" s="422"/>
      <c r="I20" s="423"/>
      <c r="J20" s="418">
        <f>uucav4</f>
        <v>80</v>
      </c>
      <c r="K20" s="419"/>
      <c r="L20" s="419"/>
      <c r="M20" s="420"/>
      <c r="N20" s="418">
        <f>eror4</f>
        <v>0</v>
      </c>
      <c r="O20" s="419"/>
      <c r="P20" s="419"/>
      <c r="Q20" s="420"/>
      <c r="R20" s="412">
        <f t="shared" si="2"/>
        <v>0.97000000000000008</v>
      </c>
      <c r="S20" s="413"/>
      <c r="T20" s="413"/>
      <c r="U20" s="414"/>
      <c r="V20" s="312"/>
      <c r="W20" s="312"/>
      <c r="X20" s="312"/>
      <c r="Y20" s="312"/>
      <c r="Z20" s="450">
        <f>ucer4*1000</f>
        <v>0.97000000000000008</v>
      </c>
      <c r="AA20" s="451"/>
      <c r="AB20" s="451"/>
      <c r="AC20" s="452"/>
      <c r="AD20" s="263"/>
      <c r="AE20" s="263"/>
      <c r="AF20" s="267"/>
      <c r="AG20" s="270">
        <v>0.16</v>
      </c>
      <c r="AJ20" s="148">
        <f t="shared" si="0"/>
        <v>3.31</v>
      </c>
    </row>
    <row r="21" spans="1:43" ht="21" customHeight="1">
      <c r="A21" s="312"/>
      <c r="B21" s="312"/>
      <c r="C21" s="311"/>
      <c r="D21" s="312"/>
      <c r="E21" s="312"/>
      <c r="F21" s="421">
        <f>setm5</f>
        <v>100</v>
      </c>
      <c r="G21" s="422"/>
      <c r="H21" s="422"/>
      <c r="I21" s="423"/>
      <c r="J21" s="418">
        <f>uucav5</f>
        <v>100</v>
      </c>
      <c r="K21" s="419"/>
      <c r="L21" s="419"/>
      <c r="M21" s="420"/>
      <c r="N21" s="418">
        <f>eror5</f>
        <v>0</v>
      </c>
      <c r="O21" s="419"/>
      <c r="P21" s="419"/>
      <c r="Q21" s="420"/>
      <c r="R21" s="412">
        <f t="shared" si="2"/>
        <v>0.98</v>
      </c>
      <c r="S21" s="413"/>
      <c r="T21" s="413"/>
      <c r="U21" s="414"/>
      <c r="V21" s="312"/>
      <c r="W21" s="312"/>
      <c r="X21" s="312"/>
      <c r="Y21" s="312"/>
      <c r="Z21" s="453">
        <f>ucer5*1000</f>
        <v>0.98</v>
      </c>
      <c r="AA21" s="454"/>
      <c r="AB21" s="454"/>
      <c r="AC21" s="455"/>
      <c r="AD21" s="263"/>
      <c r="AE21" s="263"/>
      <c r="AF21" s="267"/>
      <c r="AG21" s="270">
        <v>0.16</v>
      </c>
      <c r="AJ21" s="148">
        <f t="shared" si="0"/>
        <v>3.31</v>
      </c>
    </row>
    <row r="22" spans="1:43" ht="21" customHeight="1">
      <c r="A22" s="312"/>
      <c r="B22" s="312"/>
      <c r="C22" s="312"/>
      <c r="D22" s="312"/>
      <c r="E22" s="312"/>
      <c r="F22" s="421">
        <f>setm6</f>
        <v>120</v>
      </c>
      <c r="G22" s="422"/>
      <c r="H22" s="422"/>
      <c r="I22" s="423"/>
      <c r="J22" s="418">
        <f>uucav6</f>
        <v>120</v>
      </c>
      <c r="K22" s="419"/>
      <c r="L22" s="419"/>
      <c r="M22" s="420"/>
      <c r="N22" s="418">
        <f>eror6</f>
        <v>0</v>
      </c>
      <c r="O22" s="419"/>
      <c r="P22" s="419"/>
      <c r="Q22" s="420"/>
      <c r="R22" s="412">
        <f t="shared" si="2"/>
        <v>0.96000000000000008</v>
      </c>
      <c r="S22" s="413"/>
      <c r="T22" s="413"/>
      <c r="U22" s="414"/>
      <c r="V22" s="312"/>
      <c r="W22" s="312"/>
      <c r="X22" s="312"/>
      <c r="Y22" s="312"/>
      <c r="Z22" s="450">
        <f>ucer1*1000</f>
        <v>0.96000000000000008</v>
      </c>
      <c r="AA22" s="451"/>
      <c r="AB22" s="451"/>
      <c r="AC22" s="452"/>
      <c r="AF22" s="267"/>
      <c r="AG22" s="271">
        <v>0.2</v>
      </c>
      <c r="AJ22" s="148">
        <f t="shared" si="0"/>
        <v>3.31</v>
      </c>
    </row>
    <row r="23" spans="1:43" ht="21" customHeight="1">
      <c r="A23" s="312"/>
      <c r="B23" s="312"/>
      <c r="C23" s="312"/>
      <c r="D23" s="312"/>
      <c r="E23" s="312"/>
      <c r="F23" s="421">
        <f>setm7</f>
        <v>140</v>
      </c>
      <c r="G23" s="422"/>
      <c r="H23" s="422"/>
      <c r="I23" s="423"/>
      <c r="J23" s="418">
        <f>uucav7</f>
        <v>140</v>
      </c>
      <c r="K23" s="419"/>
      <c r="L23" s="419"/>
      <c r="M23" s="420"/>
      <c r="N23" s="418">
        <f>eror7</f>
        <v>0</v>
      </c>
      <c r="O23" s="419"/>
      <c r="P23" s="419"/>
      <c r="Q23" s="420"/>
      <c r="R23" s="412">
        <f t="shared" si="2"/>
        <v>0.96000000000000008</v>
      </c>
      <c r="S23" s="413"/>
      <c r="T23" s="413"/>
      <c r="U23" s="414"/>
      <c r="V23" s="312"/>
      <c r="W23" s="312"/>
      <c r="X23" s="312"/>
      <c r="Y23" s="312"/>
      <c r="Z23" s="450">
        <f>ucer2*1000</f>
        <v>0.96000000000000008</v>
      </c>
      <c r="AA23" s="451"/>
      <c r="AB23" s="451"/>
      <c r="AC23" s="452"/>
      <c r="AF23" s="267"/>
      <c r="AG23" s="271">
        <v>0.2</v>
      </c>
      <c r="AJ23" s="148">
        <f t="shared" si="0"/>
        <v>3.31</v>
      </c>
    </row>
    <row r="24" spans="1:43" ht="21" customHeight="1">
      <c r="A24" s="312"/>
      <c r="B24" s="312"/>
      <c r="C24" s="312"/>
      <c r="D24" s="312"/>
      <c r="E24" s="312"/>
      <c r="F24" s="421">
        <f>setm8</f>
        <v>160</v>
      </c>
      <c r="G24" s="422"/>
      <c r="H24" s="422"/>
      <c r="I24" s="423"/>
      <c r="J24" s="418">
        <f>uucav8</f>
        <v>160</v>
      </c>
      <c r="K24" s="419"/>
      <c r="L24" s="419"/>
      <c r="M24" s="420"/>
      <c r="N24" s="418">
        <f>eror8</f>
        <v>0</v>
      </c>
      <c r="O24" s="419"/>
      <c r="P24" s="419"/>
      <c r="Q24" s="420"/>
      <c r="R24" s="412">
        <f t="shared" si="2"/>
        <v>0.97000000000000008</v>
      </c>
      <c r="S24" s="413"/>
      <c r="T24" s="413"/>
      <c r="U24" s="414"/>
      <c r="V24" s="312"/>
      <c r="W24" s="312"/>
      <c r="X24" s="312"/>
      <c r="Y24" s="312"/>
      <c r="Z24" s="450">
        <f>ucer3*1000</f>
        <v>0.97000000000000008</v>
      </c>
      <c r="AA24" s="451"/>
      <c r="AB24" s="451"/>
      <c r="AC24" s="452"/>
      <c r="AF24" s="267"/>
      <c r="AG24" s="271">
        <v>0.3</v>
      </c>
      <c r="AJ24" s="148">
        <f t="shared" si="0"/>
        <v>3.31</v>
      </c>
    </row>
    <row r="25" spans="1:43" ht="21" customHeight="1">
      <c r="A25" s="312"/>
      <c r="B25" s="312"/>
      <c r="C25" s="312"/>
      <c r="D25" s="312"/>
      <c r="E25" s="312"/>
      <c r="F25" s="421">
        <f>setm9</f>
        <v>180</v>
      </c>
      <c r="G25" s="422"/>
      <c r="H25" s="422"/>
      <c r="I25" s="423"/>
      <c r="J25" s="418">
        <f>uucav9</f>
        <v>180</v>
      </c>
      <c r="K25" s="419"/>
      <c r="L25" s="419"/>
      <c r="M25" s="420"/>
      <c r="N25" s="418">
        <f>eror9</f>
        <v>0</v>
      </c>
      <c r="O25" s="419"/>
      <c r="P25" s="419"/>
      <c r="Q25" s="420"/>
      <c r="R25" s="412">
        <f t="shared" si="2"/>
        <v>0.97000000000000008</v>
      </c>
      <c r="S25" s="413"/>
      <c r="T25" s="413"/>
      <c r="U25" s="414"/>
      <c r="V25" s="312"/>
      <c r="W25" s="312"/>
      <c r="X25" s="312"/>
      <c r="Y25" s="312"/>
      <c r="Z25" s="450">
        <f>ucer4*1000</f>
        <v>0.97000000000000008</v>
      </c>
      <c r="AA25" s="451"/>
      <c r="AB25" s="451"/>
      <c r="AC25" s="452"/>
      <c r="AF25" s="267"/>
      <c r="AG25" s="271">
        <v>0.3</v>
      </c>
      <c r="AJ25" s="148">
        <f t="shared" si="0"/>
        <v>3.31</v>
      </c>
    </row>
    <row r="26" spans="1:43" ht="21" customHeight="1">
      <c r="A26" s="312"/>
      <c r="B26" s="321"/>
      <c r="C26" s="312"/>
      <c r="D26" s="312"/>
      <c r="E26" s="312"/>
      <c r="F26" s="424">
        <f>setm10</f>
        <v>200</v>
      </c>
      <c r="G26" s="425"/>
      <c r="H26" s="425"/>
      <c r="I26" s="426"/>
      <c r="J26" s="407">
        <f>uucav10</f>
        <v>200</v>
      </c>
      <c r="K26" s="408"/>
      <c r="L26" s="408"/>
      <c r="M26" s="409"/>
      <c r="N26" s="407">
        <f>eror10</f>
        <v>0</v>
      </c>
      <c r="O26" s="408"/>
      <c r="P26" s="408"/>
      <c r="Q26" s="409"/>
      <c r="R26" s="415">
        <f t="shared" si="2"/>
        <v>0.98</v>
      </c>
      <c r="S26" s="416"/>
      <c r="T26" s="416"/>
      <c r="U26" s="417"/>
      <c r="V26" s="312"/>
      <c r="W26" s="312"/>
      <c r="X26" s="312"/>
      <c r="Y26" s="312"/>
      <c r="Z26" s="453">
        <f>ucer5*1000</f>
        <v>0.98</v>
      </c>
      <c r="AA26" s="454"/>
      <c r="AB26" s="454"/>
      <c r="AC26" s="455"/>
      <c r="AF26" s="266"/>
      <c r="AG26" s="271">
        <v>0.3</v>
      </c>
      <c r="AJ26" s="148">
        <f t="shared" si="0"/>
        <v>3.31</v>
      </c>
    </row>
    <row r="27" spans="1:43" ht="18" customHeight="1">
      <c r="A27" s="312"/>
      <c r="B27" s="312"/>
      <c r="C27" s="312"/>
      <c r="D27" s="312"/>
      <c r="E27" s="312"/>
      <c r="F27" s="312"/>
      <c r="G27" s="312"/>
      <c r="H27" s="312"/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312"/>
      <c r="X27" s="322"/>
      <c r="Y27" s="323"/>
      <c r="Z27" s="150"/>
    </row>
    <row r="28" spans="1:43" ht="18" customHeight="1">
      <c r="A28" s="312"/>
      <c r="B28" s="313"/>
      <c r="C28" s="312" t="str">
        <f>Data!A38</f>
        <v>Off - Center Loading</v>
      </c>
      <c r="D28" s="312"/>
      <c r="E28" s="312"/>
      <c r="F28" s="312"/>
      <c r="G28" s="312"/>
      <c r="H28" s="312"/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22"/>
      <c r="Y28" s="312"/>
    </row>
    <row r="29" spans="1:43" ht="18" customHeight="1">
      <c r="A29" s="312"/>
      <c r="B29" s="313"/>
      <c r="C29" s="312"/>
      <c r="D29" s="312"/>
      <c r="E29" s="312"/>
      <c r="F29" s="395" t="str">
        <f>Data!A41</f>
        <v>Center</v>
      </c>
      <c r="G29" s="396"/>
      <c r="H29" s="397"/>
      <c r="I29" s="403">
        <f>AVERAGE(Data!D41:S41)</f>
        <v>50</v>
      </c>
      <c r="J29" s="404"/>
      <c r="K29" s="324" t="str">
        <f>Data!I9</f>
        <v>g</v>
      </c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150"/>
    </row>
    <row r="30" spans="1:43" ht="18" customHeight="1">
      <c r="A30" s="312"/>
      <c r="B30" s="313"/>
      <c r="C30" s="312"/>
      <c r="D30" s="312"/>
      <c r="E30" s="312"/>
      <c r="F30" s="398" t="str">
        <f>Data!A42</f>
        <v>Front</v>
      </c>
      <c r="G30" s="399"/>
      <c r="H30" s="400"/>
      <c r="I30" s="401">
        <f>AVERAGE(Data!D42:S42)</f>
        <v>50</v>
      </c>
      <c r="J30" s="402"/>
      <c r="K30" s="325" t="str">
        <f>K29</f>
        <v>g</v>
      </c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12"/>
      <c r="B31" s="312"/>
      <c r="C31" s="312"/>
      <c r="D31" s="312"/>
      <c r="E31" s="312"/>
      <c r="F31" s="398" t="str">
        <f>Data!A43</f>
        <v>Back</v>
      </c>
      <c r="G31" s="399"/>
      <c r="H31" s="400"/>
      <c r="I31" s="401">
        <f>AVERAGE(Data!D43:S43)</f>
        <v>50</v>
      </c>
      <c r="J31" s="402"/>
      <c r="K31" s="325" t="str">
        <f>K29</f>
        <v>g</v>
      </c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12"/>
      <c r="B32" s="312"/>
      <c r="C32" s="312"/>
      <c r="D32" s="312"/>
      <c r="E32" s="312"/>
      <c r="F32" s="398" t="str">
        <f>Data!A44</f>
        <v>Left</v>
      </c>
      <c r="G32" s="399"/>
      <c r="H32" s="400"/>
      <c r="I32" s="401">
        <f>AVERAGE(Data!D44:S44)</f>
        <v>50</v>
      </c>
      <c r="J32" s="402"/>
      <c r="K32" s="325" t="str">
        <f>K29</f>
        <v>g</v>
      </c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12"/>
      <c r="B33" s="312"/>
      <c r="C33" s="312"/>
      <c r="D33" s="312"/>
      <c r="E33" s="312"/>
      <c r="F33" s="392" t="str">
        <f>Data!A45</f>
        <v>Right</v>
      </c>
      <c r="G33" s="393"/>
      <c r="H33" s="394"/>
      <c r="I33" s="401">
        <f>AVERAGE(Data!D45:S45)</f>
        <v>50</v>
      </c>
      <c r="J33" s="402"/>
      <c r="K33" s="326" t="str">
        <f>K29</f>
        <v>g</v>
      </c>
      <c r="L33" s="312"/>
      <c r="M33" s="312"/>
      <c r="N33" s="312"/>
      <c r="O33" s="312"/>
      <c r="P33" s="312"/>
      <c r="Q33" s="312"/>
      <c r="R33" s="311"/>
      <c r="S33" s="327"/>
      <c r="T33" s="312"/>
      <c r="U33" s="312"/>
      <c r="V33" s="312"/>
      <c r="W33" s="312"/>
      <c r="X33" s="312"/>
      <c r="Y33" s="312"/>
      <c r="Z33" s="145"/>
    </row>
    <row r="34" spans="1:43" ht="18" customHeight="1">
      <c r="A34" s="312"/>
      <c r="B34" s="328"/>
      <c r="C34" s="312"/>
      <c r="D34" s="312"/>
      <c r="E34" s="312"/>
      <c r="F34" s="386" t="s">
        <v>119</v>
      </c>
      <c r="G34" s="387"/>
      <c r="H34" s="388"/>
      <c r="I34" s="403">
        <f>dem</f>
        <v>0</v>
      </c>
      <c r="J34" s="404"/>
      <c r="K34" s="410" t="str">
        <f>K29</f>
        <v>g</v>
      </c>
      <c r="L34" s="312"/>
      <c r="M34" s="312"/>
      <c r="N34" s="312"/>
      <c r="O34" s="312"/>
      <c r="P34" s="312"/>
      <c r="Q34" s="312"/>
      <c r="R34" s="327"/>
      <c r="S34" s="327"/>
      <c r="T34" s="312"/>
      <c r="U34" s="312"/>
      <c r="V34" s="312"/>
      <c r="W34" s="312"/>
      <c r="X34" s="312"/>
      <c r="Y34" s="312"/>
    </row>
    <row r="35" spans="1:43" ht="23.1" customHeight="1">
      <c r="A35" s="312"/>
      <c r="B35" s="312"/>
      <c r="C35" s="312"/>
      <c r="D35" s="312"/>
      <c r="E35" s="312"/>
      <c r="F35" s="389"/>
      <c r="G35" s="390"/>
      <c r="H35" s="391"/>
      <c r="I35" s="405"/>
      <c r="J35" s="406"/>
      <c r="K35" s="411"/>
      <c r="L35" s="312"/>
      <c r="M35" s="312"/>
      <c r="N35" s="312"/>
      <c r="O35" s="312"/>
      <c r="P35" s="312"/>
      <c r="Q35" s="312"/>
      <c r="R35" s="311"/>
      <c r="S35" s="311"/>
      <c r="T35" s="312"/>
      <c r="U35" s="312"/>
      <c r="V35" s="312"/>
      <c r="W35" s="312"/>
      <c r="X35" s="312"/>
      <c r="Y35" s="312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383" t="s">
        <v>106</v>
      </c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3"/>
      <c r="Y38" s="383"/>
      <c r="Z38" s="145"/>
      <c r="AM38" s="148"/>
      <c r="AN38" s="148"/>
      <c r="AO38" s="148"/>
      <c r="AP38" s="148"/>
      <c r="AQ38" s="148"/>
    </row>
    <row r="39" spans="1:43" ht="21" customHeight="1">
      <c r="A39" s="381" t="s">
        <v>107</v>
      </c>
      <c r="B39" s="381"/>
      <c r="C39" s="381"/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  <c r="W39" s="381"/>
      <c r="X39" s="381"/>
      <c r="Y39" s="381"/>
      <c r="Z39" s="331"/>
      <c r="AM39" s="148"/>
      <c r="AN39" s="148"/>
      <c r="AO39" s="148"/>
      <c r="AP39" s="148"/>
      <c r="AQ39" s="148"/>
    </row>
    <row r="40" spans="1:43" ht="21" customHeight="1">
      <c r="A40" s="384" t="s">
        <v>108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Z26:AC26"/>
    <mergeCell ref="Z21:AC21"/>
    <mergeCell ref="Z22:AC22"/>
    <mergeCell ref="Z23:AC23"/>
    <mergeCell ref="Z24:AC24"/>
    <mergeCell ref="Z25:AC25"/>
    <mergeCell ref="Z15:AC15"/>
    <mergeCell ref="Z17:AC17"/>
    <mergeCell ref="Z18:AC18"/>
    <mergeCell ref="Z19:AC19"/>
    <mergeCell ref="Z20:AC20"/>
    <mergeCell ref="Z16:AC16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20:Q20"/>
    <mergeCell ref="N21:Q21"/>
    <mergeCell ref="N22:Q22"/>
    <mergeCell ref="N23:Q23"/>
    <mergeCell ref="N24:Q24"/>
    <mergeCell ref="R20:U20"/>
    <mergeCell ref="R21:U21"/>
    <mergeCell ref="R22:U22"/>
    <mergeCell ref="R23:U23"/>
    <mergeCell ref="R24:U24"/>
    <mergeCell ref="I34:J35"/>
    <mergeCell ref="N26:Q26"/>
    <mergeCell ref="K34:K35"/>
    <mergeCell ref="R25:U25"/>
    <mergeCell ref="R26:U26"/>
    <mergeCell ref="J26:M26"/>
    <mergeCell ref="N25:Q25"/>
    <mergeCell ref="A39:Y39"/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zoomScaleNormal="100" workbookViewId="0">
      <selection activeCell="X7" sqref="X7:X16"/>
    </sheetView>
  </sheetViews>
  <sheetFormatPr defaultRowHeight="15"/>
  <cols>
    <col min="1" max="1" width="1.42578125" customWidth="1"/>
    <col min="2" max="2" width="9.7109375" style="5" customWidth="1"/>
    <col min="3" max="17" width="8.140625" style="5" customWidth="1"/>
    <col min="18" max="19" width="0.285156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456" t="s">
        <v>61</v>
      </c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58" t="s">
        <v>0</v>
      </c>
      <c r="C3" s="559" t="s">
        <v>1</v>
      </c>
      <c r="D3" s="560"/>
      <c r="E3" s="560"/>
      <c r="F3" s="560"/>
      <c r="G3" s="561"/>
      <c r="H3" s="559" t="s">
        <v>2</v>
      </c>
      <c r="I3" s="561"/>
      <c r="J3" s="559" t="s">
        <v>3</v>
      </c>
      <c r="K3" s="561"/>
      <c r="L3" s="559" t="s">
        <v>4</v>
      </c>
      <c r="M3" s="561"/>
      <c r="N3" s="590" t="s">
        <v>198</v>
      </c>
      <c r="O3" s="591"/>
      <c r="P3" s="592" t="s">
        <v>199</v>
      </c>
      <c r="Q3" s="593"/>
      <c r="T3" s="562" t="s">
        <v>5</v>
      </c>
      <c r="U3" s="562" t="s">
        <v>6</v>
      </c>
      <c r="V3" s="562" t="s">
        <v>195</v>
      </c>
      <c r="W3" s="562" t="s">
        <v>196</v>
      </c>
      <c r="X3" s="562" t="s">
        <v>197</v>
      </c>
    </row>
    <row r="4" spans="1:244" ht="18" customHeight="1">
      <c r="B4" s="563"/>
      <c r="C4" s="564" t="s">
        <v>7</v>
      </c>
      <c r="D4" s="565"/>
      <c r="E4" s="565"/>
      <c r="F4" s="565"/>
      <c r="G4" s="566"/>
      <c r="H4" s="564" t="s">
        <v>8</v>
      </c>
      <c r="I4" s="566"/>
      <c r="J4" s="564" t="s">
        <v>9</v>
      </c>
      <c r="K4" s="566"/>
      <c r="L4" s="564" t="s">
        <v>10</v>
      </c>
      <c r="M4" s="566"/>
      <c r="N4" s="594"/>
      <c r="O4" s="595"/>
      <c r="P4" s="596"/>
      <c r="Q4" s="597"/>
      <c r="T4" s="567"/>
      <c r="U4" s="567"/>
      <c r="V4" s="567"/>
      <c r="W4" s="567"/>
      <c r="X4" s="567"/>
    </row>
    <row r="5" spans="1:244" ht="18" customHeight="1">
      <c r="B5" s="568" t="str">
        <f>Data!I9</f>
        <v>g</v>
      </c>
      <c r="C5" s="569" t="str">
        <f>B5</f>
        <v>g</v>
      </c>
      <c r="D5" s="570"/>
      <c r="E5" s="570"/>
      <c r="F5" s="570"/>
      <c r="G5" s="571"/>
      <c r="H5" s="569" t="str">
        <f>C5</f>
        <v>g</v>
      </c>
      <c r="I5" s="571"/>
      <c r="J5" s="569" t="str">
        <f>H5</f>
        <v>g</v>
      </c>
      <c r="K5" s="571"/>
      <c r="L5" s="569" t="str">
        <f>J5</f>
        <v>g</v>
      </c>
      <c r="M5" s="571"/>
      <c r="N5" s="598"/>
      <c r="O5" s="599"/>
      <c r="P5" s="600"/>
      <c r="Q5" s="601"/>
      <c r="T5" s="572"/>
      <c r="U5" s="572"/>
      <c r="V5" s="572"/>
      <c r="W5" s="572"/>
      <c r="X5" s="573"/>
    </row>
    <row r="6" spans="1:244" ht="18" customHeight="1">
      <c r="B6" s="574" t="s">
        <v>11</v>
      </c>
      <c r="C6" s="575" t="s">
        <v>11</v>
      </c>
      <c r="D6" s="576"/>
      <c r="E6" s="576"/>
      <c r="F6" s="577"/>
      <c r="G6" s="578" t="s">
        <v>6</v>
      </c>
      <c r="H6" s="574" t="s">
        <v>11</v>
      </c>
      <c r="I6" s="578" t="s">
        <v>6</v>
      </c>
      <c r="J6" s="574" t="s">
        <v>11</v>
      </c>
      <c r="K6" s="578" t="s">
        <v>6</v>
      </c>
      <c r="L6" s="574" t="s">
        <v>11</v>
      </c>
      <c r="M6" s="578" t="s">
        <v>6</v>
      </c>
      <c r="N6" s="602" t="s">
        <v>11</v>
      </c>
      <c r="O6" s="603" t="s">
        <v>200</v>
      </c>
      <c r="P6" s="604" t="s">
        <v>11</v>
      </c>
      <c r="Q6" s="603" t="s">
        <v>200</v>
      </c>
      <c r="T6" s="579" t="s">
        <v>11</v>
      </c>
      <c r="U6" s="580" t="s">
        <v>11</v>
      </c>
      <c r="V6" s="579" t="s">
        <v>11</v>
      </c>
      <c r="W6" s="581" t="s">
        <v>11</v>
      </c>
      <c r="X6" s="579" t="s">
        <v>11</v>
      </c>
    </row>
    <row r="7" spans="1:244" ht="18" customHeight="1">
      <c r="B7" s="582">
        <f>Data!A27</f>
        <v>20</v>
      </c>
      <c r="C7" s="583"/>
      <c r="D7" s="583"/>
      <c r="E7" s="583"/>
      <c r="F7" s="583"/>
      <c r="G7" s="588">
        <f>((C7+D7+E7+F7)/10^3/2)</f>
        <v>0</v>
      </c>
      <c r="H7" s="589">
        <f>(((-(B7/1000)*($C$21-1.2))*((1/7950)-(1/8000)))*1000)</f>
        <v>3.5065280773241531E-7</v>
      </c>
      <c r="I7" s="588">
        <f t="shared" ref="I7:I15" si="0">H7/SQRT(3)</f>
        <v>2.0244949293640808E-7</v>
      </c>
      <c r="J7" s="589">
        <f>Data!O9/2</f>
        <v>5.0000000000000001E-4</v>
      </c>
      <c r="K7" s="588">
        <f t="shared" ref="K7:K15" si="1">J7/SQRT(3)</f>
        <v>2.886751345948129E-4</v>
      </c>
      <c r="L7" s="589">
        <f>Data!X27</f>
        <v>0</v>
      </c>
      <c r="M7" s="588">
        <f t="shared" ref="M7:M15" si="2">L7/1</f>
        <v>0</v>
      </c>
      <c r="N7" s="605">
        <f t="shared" ref="N7:N16" si="3">dem</f>
        <v>0</v>
      </c>
      <c r="O7" s="606">
        <f>N7/(2*SQRT(3))</f>
        <v>0</v>
      </c>
      <c r="P7" s="607">
        <f>(4*(1*10^-6)*B7)</f>
        <v>7.9999999999999993E-5</v>
      </c>
      <c r="Q7" s="607">
        <f>P7/(2*SQRT(3))</f>
        <v>2.3094010767585031E-5</v>
      </c>
      <c r="T7" s="587">
        <f>SQRT(SUMSQ(G7,I7,K7,M7,O7,Q7))</f>
        <v>2.8959749248303905E-4</v>
      </c>
      <c r="U7" s="584">
        <f>M7/1</f>
        <v>0</v>
      </c>
      <c r="V7" s="585" t="str">
        <f>IF(U7=0,"∞",(T7^4/(U7^4/3)))</f>
        <v>∞</v>
      </c>
      <c r="W7" s="619">
        <f>IF(V7="∞",2,_xlfn.T.INV.2T(0.0455,V7))</f>
        <v>2</v>
      </c>
      <c r="X7" s="620">
        <f>(T7*W7)</f>
        <v>5.791949849660781E-4</v>
      </c>
    </row>
    <row r="8" spans="1:244" ht="18" customHeight="1">
      <c r="B8" s="582">
        <f>Data!A28</f>
        <v>40</v>
      </c>
      <c r="C8" s="586"/>
      <c r="D8" s="586"/>
      <c r="E8" s="586"/>
      <c r="F8" s="586"/>
      <c r="G8" s="588">
        <f t="shared" ref="G8:G16" si="4">((C8+D8+E8+F8)/10^3/2)</f>
        <v>0</v>
      </c>
      <c r="H8" s="589">
        <f t="shared" ref="H8:H16" si="5">(((-(B8/1000)*($C$21-1.2))*((1/7950)-(1/8000)))*1000)</f>
        <v>7.0130561546483061E-7</v>
      </c>
      <c r="I8" s="588">
        <f t="shared" si="0"/>
        <v>4.0489898587281616E-7</v>
      </c>
      <c r="J8" s="589">
        <f>J7</f>
        <v>5.0000000000000001E-4</v>
      </c>
      <c r="K8" s="588">
        <f t="shared" si="1"/>
        <v>2.886751345948129E-4</v>
      </c>
      <c r="L8" s="589">
        <f>Data!X28</f>
        <v>0</v>
      </c>
      <c r="M8" s="588">
        <f t="shared" si="2"/>
        <v>0</v>
      </c>
      <c r="N8" s="605">
        <f t="shared" si="3"/>
        <v>0</v>
      </c>
      <c r="O8" s="606">
        <f t="shared" ref="O8:O16" si="6">N8/(2*SQRT(3))</f>
        <v>0</v>
      </c>
      <c r="P8" s="607">
        <f t="shared" ref="P8:P16" si="7">(4*(1*10^-6)*B8)</f>
        <v>1.5999999999999999E-4</v>
      </c>
      <c r="Q8" s="607">
        <f t="shared" ref="Q8:Q16" si="8">P8/(2*SQRT(3))</f>
        <v>4.6188021535170063E-5</v>
      </c>
      <c r="T8" s="587">
        <f t="shared" ref="T8:T16" si="9">SQRT(SUMSQ(G8,I8,K8,M8,O8,Q8))</f>
        <v>2.9234710638187519E-4</v>
      </c>
      <c r="U8" s="584">
        <f>M8/1</f>
        <v>0</v>
      </c>
      <c r="V8" s="585" t="str">
        <f t="shared" ref="V8:V16" si="10">IF(U8=0,"∞",(T8^4/(U8^4/3)))</f>
        <v>∞</v>
      </c>
      <c r="W8" s="619">
        <f t="shared" ref="W8:W16" si="11">IF(V8="∞",2,_xlfn.T.INV.2T(0.0455,V8))</f>
        <v>2</v>
      </c>
      <c r="X8" s="620">
        <f t="shared" ref="X8:X16" si="12">(T8*W8)</f>
        <v>5.8469421276375038E-4</v>
      </c>
    </row>
    <row r="9" spans="1:244" ht="18" customHeight="1">
      <c r="B9" s="582">
        <f>Data!A29</f>
        <v>60</v>
      </c>
      <c r="C9" s="586"/>
      <c r="D9" s="586"/>
      <c r="E9" s="586"/>
      <c r="F9" s="586"/>
      <c r="G9" s="588">
        <f t="shared" si="4"/>
        <v>0</v>
      </c>
      <c r="H9" s="589">
        <f t="shared" si="5"/>
        <v>1.0519584231972459E-6</v>
      </c>
      <c r="I9" s="588">
        <f t="shared" si="0"/>
        <v>6.0734847880922424E-7</v>
      </c>
      <c r="J9" s="589">
        <f t="shared" ref="J9:J16" si="13">J8</f>
        <v>5.0000000000000001E-4</v>
      </c>
      <c r="K9" s="588">
        <f t="shared" si="1"/>
        <v>2.886751345948129E-4</v>
      </c>
      <c r="L9" s="589">
        <f>Data!X29</f>
        <v>0</v>
      </c>
      <c r="M9" s="588">
        <f t="shared" si="2"/>
        <v>0</v>
      </c>
      <c r="N9" s="605">
        <f t="shared" si="3"/>
        <v>0</v>
      </c>
      <c r="O9" s="606">
        <f t="shared" si="6"/>
        <v>0</v>
      </c>
      <c r="P9" s="607">
        <f t="shared" si="7"/>
        <v>2.3999999999999998E-4</v>
      </c>
      <c r="Q9" s="607">
        <f t="shared" si="8"/>
        <v>6.9282032302755094E-5</v>
      </c>
      <c r="T9" s="587">
        <f t="shared" si="9"/>
        <v>2.9687320897229521E-4</v>
      </c>
      <c r="U9" s="584">
        <f>M9/1</f>
        <v>0</v>
      </c>
      <c r="V9" s="585" t="str">
        <f t="shared" si="10"/>
        <v>∞</v>
      </c>
      <c r="W9" s="619">
        <f t="shared" si="11"/>
        <v>2</v>
      </c>
      <c r="X9" s="620">
        <f t="shared" si="12"/>
        <v>5.9374641794459043E-4</v>
      </c>
    </row>
    <row r="10" spans="1:244" ht="18" customHeight="1">
      <c r="B10" s="582">
        <f>Data!A30</f>
        <v>80</v>
      </c>
      <c r="C10" s="586"/>
      <c r="D10" s="586"/>
      <c r="E10" s="586"/>
      <c r="F10" s="586"/>
      <c r="G10" s="588">
        <f t="shared" si="4"/>
        <v>0</v>
      </c>
      <c r="H10" s="589">
        <f t="shared" si="5"/>
        <v>1.4026112309296612E-6</v>
      </c>
      <c r="I10" s="588">
        <f t="shared" si="0"/>
        <v>8.0979797174563231E-7</v>
      </c>
      <c r="J10" s="589">
        <f t="shared" si="13"/>
        <v>5.0000000000000001E-4</v>
      </c>
      <c r="K10" s="588">
        <f t="shared" si="1"/>
        <v>2.886751345948129E-4</v>
      </c>
      <c r="L10" s="589">
        <f>Data!X30</f>
        <v>0</v>
      </c>
      <c r="M10" s="588">
        <f t="shared" si="2"/>
        <v>0</v>
      </c>
      <c r="N10" s="605">
        <f t="shared" si="3"/>
        <v>0</v>
      </c>
      <c r="O10" s="606">
        <f t="shared" si="6"/>
        <v>0</v>
      </c>
      <c r="P10" s="607">
        <f t="shared" si="7"/>
        <v>3.1999999999999997E-4</v>
      </c>
      <c r="Q10" s="607">
        <f t="shared" si="8"/>
        <v>9.2376043070340125E-5</v>
      </c>
      <c r="T10" s="587">
        <f t="shared" si="9"/>
        <v>3.030962263694844E-4</v>
      </c>
      <c r="U10" s="584">
        <f>M10/1</f>
        <v>0</v>
      </c>
      <c r="V10" s="585" t="str">
        <f t="shared" si="10"/>
        <v>∞</v>
      </c>
      <c r="W10" s="619">
        <f t="shared" si="11"/>
        <v>2</v>
      </c>
      <c r="X10" s="620">
        <f t="shared" si="12"/>
        <v>6.0619245273896879E-4</v>
      </c>
    </row>
    <row r="11" spans="1:244" ht="18" customHeight="1">
      <c r="B11" s="582">
        <f>Data!A31</f>
        <v>100</v>
      </c>
      <c r="C11" s="586"/>
      <c r="D11" s="586"/>
      <c r="E11" s="586"/>
      <c r="F11" s="586"/>
      <c r="G11" s="588">
        <f t="shared" si="4"/>
        <v>0</v>
      </c>
      <c r="H11" s="589">
        <f t="shared" si="5"/>
        <v>1.7532640386620767E-6</v>
      </c>
      <c r="I11" s="588">
        <f t="shared" si="0"/>
        <v>1.0122474646820405E-6</v>
      </c>
      <c r="J11" s="589">
        <f t="shared" si="13"/>
        <v>5.0000000000000001E-4</v>
      </c>
      <c r="K11" s="588">
        <f t="shared" si="1"/>
        <v>2.886751345948129E-4</v>
      </c>
      <c r="L11" s="589">
        <f>Data!X31</f>
        <v>0</v>
      </c>
      <c r="M11" s="588">
        <f t="shared" si="2"/>
        <v>0</v>
      </c>
      <c r="N11" s="605">
        <f t="shared" si="3"/>
        <v>0</v>
      </c>
      <c r="O11" s="606">
        <f t="shared" si="6"/>
        <v>0</v>
      </c>
      <c r="P11" s="607">
        <f t="shared" si="7"/>
        <v>3.9999999999999996E-4</v>
      </c>
      <c r="Q11" s="607">
        <f t="shared" si="8"/>
        <v>1.1547005383792514E-4</v>
      </c>
      <c r="T11" s="587">
        <f t="shared" si="9"/>
        <v>3.1091428290060336E-4</v>
      </c>
      <c r="U11" s="584">
        <f>M11/1</f>
        <v>0</v>
      </c>
      <c r="V11" s="585" t="str">
        <f t="shared" si="10"/>
        <v>∞</v>
      </c>
      <c r="W11" s="619">
        <f t="shared" si="11"/>
        <v>2</v>
      </c>
      <c r="X11" s="620">
        <f t="shared" si="12"/>
        <v>6.2182856580120672E-4</v>
      </c>
    </row>
    <row r="12" spans="1:244" ht="18" customHeight="1">
      <c r="B12" s="582">
        <f>Data!A32</f>
        <v>120</v>
      </c>
      <c r="C12" s="586"/>
      <c r="D12" s="586"/>
      <c r="E12" s="586"/>
      <c r="F12" s="586"/>
      <c r="G12" s="588">
        <f t="shared" si="4"/>
        <v>0</v>
      </c>
      <c r="H12" s="589">
        <f t="shared" si="5"/>
        <v>2.1039168463944918E-6</v>
      </c>
      <c r="I12" s="588">
        <f t="shared" si="0"/>
        <v>1.2146969576184485E-6</v>
      </c>
      <c r="J12" s="589">
        <f t="shared" si="13"/>
        <v>5.0000000000000001E-4</v>
      </c>
      <c r="K12" s="588">
        <f t="shared" si="1"/>
        <v>2.886751345948129E-4</v>
      </c>
      <c r="L12" s="589">
        <f>Data!X32</f>
        <v>0</v>
      </c>
      <c r="M12" s="588">
        <f t="shared" si="2"/>
        <v>0</v>
      </c>
      <c r="N12" s="605">
        <f t="shared" si="3"/>
        <v>0</v>
      </c>
      <c r="O12" s="606">
        <f t="shared" si="6"/>
        <v>0</v>
      </c>
      <c r="P12" s="607">
        <f t="shared" si="7"/>
        <v>4.7999999999999996E-4</v>
      </c>
      <c r="Q12" s="607">
        <f t="shared" si="8"/>
        <v>1.3856406460551019E-4</v>
      </c>
      <c r="T12" s="587">
        <f t="shared" si="9"/>
        <v>3.2021056950393156E-4</v>
      </c>
      <c r="U12" s="584">
        <f>M12/1</f>
        <v>0</v>
      </c>
      <c r="V12" s="585" t="str">
        <f t="shared" si="10"/>
        <v>∞</v>
      </c>
      <c r="W12" s="619">
        <f t="shared" si="11"/>
        <v>2</v>
      </c>
      <c r="X12" s="620">
        <f t="shared" si="12"/>
        <v>6.4042113900786312E-4</v>
      </c>
    </row>
    <row r="13" spans="1:244" ht="18" customHeight="1">
      <c r="B13" s="582">
        <f>Data!A33</f>
        <v>140</v>
      </c>
      <c r="C13" s="586"/>
      <c r="D13" s="586"/>
      <c r="E13" s="586"/>
      <c r="F13" s="586"/>
      <c r="G13" s="588">
        <f t="shared" si="4"/>
        <v>0</v>
      </c>
      <c r="H13" s="589">
        <f t="shared" si="5"/>
        <v>2.4545696541269071E-6</v>
      </c>
      <c r="I13" s="588">
        <f t="shared" si="0"/>
        <v>1.4171464505548564E-6</v>
      </c>
      <c r="J13" s="589">
        <f t="shared" si="13"/>
        <v>5.0000000000000001E-4</v>
      </c>
      <c r="K13" s="588">
        <f t="shared" si="1"/>
        <v>2.886751345948129E-4</v>
      </c>
      <c r="L13" s="589">
        <f>Data!X33</f>
        <v>0</v>
      </c>
      <c r="M13" s="588">
        <f t="shared" si="2"/>
        <v>0</v>
      </c>
      <c r="N13" s="605">
        <f t="shared" si="3"/>
        <v>0</v>
      </c>
      <c r="O13" s="606">
        <f t="shared" si="6"/>
        <v>0</v>
      </c>
      <c r="P13" s="607">
        <f t="shared" si="7"/>
        <v>5.5999999999999995E-4</v>
      </c>
      <c r="Q13" s="607">
        <f t="shared" si="8"/>
        <v>1.6165807537309521E-4</v>
      </c>
      <c r="T13" s="587">
        <f t="shared" si="9"/>
        <v>3.30860506816285E-4</v>
      </c>
      <c r="U13" s="584">
        <f>M13/1</f>
        <v>0</v>
      </c>
      <c r="V13" s="585" t="str">
        <f t="shared" si="10"/>
        <v>∞</v>
      </c>
      <c r="W13" s="619">
        <f t="shared" si="11"/>
        <v>2</v>
      </c>
      <c r="X13" s="620">
        <f t="shared" si="12"/>
        <v>6.6172101363257E-4</v>
      </c>
    </row>
    <row r="14" spans="1:244" ht="18" customHeight="1">
      <c r="B14" s="582">
        <f>Data!A34</f>
        <v>160</v>
      </c>
      <c r="C14" s="586"/>
      <c r="D14" s="586"/>
      <c r="E14" s="586"/>
      <c r="F14" s="586"/>
      <c r="G14" s="588">
        <f t="shared" si="4"/>
        <v>0</v>
      </c>
      <c r="H14" s="589">
        <f t="shared" si="5"/>
        <v>2.8052224618593224E-6</v>
      </c>
      <c r="I14" s="588">
        <f t="shared" si="0"/>
        <v>1.6195959434912646E-6</v>
      </c>
      <c r="J14" s="589">
        <f t="shared" si="13"/>
        <v>5.0000000000000001E-4</v>
      </c>
      <c r="K14" s="588">
        <f t="shared" si="1"/>
        <v>2.886751345948129E-4</v>
      </c>
      <c r="L14" s="589">
        <f>Data!X34</f>
        <v>0</v>
      </c>
      <c r="M14" s="588">
        <f t="shared" si="2"/>
        <v>0</v>
      </c>
      <c r="N14" s="605">
        <f t="shared" si="3"/>
        <v>0</v>
      </c>
      <c r="O14" s="606">
        <f t="shared" si="6"/>
        <v>0</v>
      </c>
      <c r="P14" s="607">
        <f t="shared" si="7"/>
        <v>6.3999999999999994E-4</v>
      </c>
      <c r="Q14" s="607">
        <f t="shared" si="8"/>
        <v>1.8475208614068025E-4</v>
      </c>
      <c r="T14" s="587">
        <f t="shared" si="9"/>
        <v>3.4273793160035097E-4</v>
      </c>
      <c r="U14" s="584">
        <f>M14/1</f>
        <v>0</v>
      </c>
      <c r="V14" s="585" t="str">
        <f t="shared" si="10"/>
        <v>∞</v>
      </c>
      <c r="W14" s="619">
        <f t="shared" si="11"/>
        <v>2</v>
      </c>
      <c r="X14" s="620">
        <f t="shared" si="12"/>
        <v>6.8547586320070195E-4</v>
      </c>
    </row>
    <row r="15" spans="1:244" ht="18" customHeight="1">
      <c r="B15" s="582">
        <f>Data!A35</f>
        <v>180</v>
      </c>
      <c r="C15" s="586"/>
      <c r="D15" s="586"/>
      <c r="E15" s="586"/>
      <c r="F15" s="586"/>
      <c r="G15" s="588">
        <f t="shared" si="4"/>
        <v>0</v>
      </c>
      <c r="H15" s="589">
        <f t="shared" si="5"/>
        <v>3.1558752695917378E-6</v>
      </c>
      <c r="I15" s="588">
        <f t="shared" si="0"/>
        <v>1.8220454364276726E-6</v>
      </c>
      <c r="J15" s="589">
        <f t="shared" si="13"/>
        <v>5.0000000000000001E-4</v>
      </c>
      <c r="K15" s="588">
        <f t="shared" si="1"/>
        <v>2.886751345948129E-4</v>
      </c>
      <c r="L15" s="589">
        <f>Data!X35</f>
        <v>0</v>
      </c>
      <c r="M15" s="588">
        <f t="shared" si="2"/>
        <v>0</v>
      </c>
      <c r="N15" s="605">
        <f t="shared" si="3"/>
        <v>0</v>
      </c>
      <c r="O15" s="606">
        <f t="shared" si="6"/>
        <v>0</v>
      </c>
      <c r="P15" s="607">
        <f t="shared" si="7"/>
        <v>7.1999999999999994E-4</v>
      </c>
      <c r="Q15" s="607">
        <f t="shared" si="8"/>
        <v>2.0784609690826527E-4</v>
      </c>
      <c r="T15" s="587">
        <f t="shared" si="9"/>
        <v>3.5571990833084636E-4</v>
      </c>
      <c r="U15" s="584">
        <f>M15/1</f>
        <v>0</v>
      </c>
      <c r="V15" s="585" t="str">
        <f t="shared" si="10"/>
        <v>∞</v>
      </c>
      <c r="W15" s="619">
        <f t="shared" si="11"/>
        <v>2</v>
      </c>
      <c r="X15" s="620">
        <f t="shared" si="12"/>
        <v>7.1143981666169271E-4</v>
      </c>
    </row>
    <row r="16" spans="1:244" ht="18" customHeight="1">
      <c r="B16" s="582">
        <f>Data!A36</f>
        <v>200</v>
      </c>
      <c r="C16" s="586"/>
      <c r="D16" s="586"/>
      <c r="E16" s="586"/>
      <c r="F16" s="586"/>
      <c r="G16" s="588">
        <f t="shared" si="4"/>
        <v>0</v>
      </c>
      <c r="H16" s="589">
        <f t="shared" si="5"/>
        <v>3.5065280773241535E-6</v>
      </c>
      <c r="I16" s="588">
        <f>H16/SQRT(3)</f>
        <v>2.024494929364081E-6</v>
      </c>
      <c r="J16" s="589">
        <f t="shared" si="13"/>
        <v>5.0000000000000001E-4</v>
      </c>
      <c r="K16" s="588">
        <f>J16/SQRT(3)</f>
        <v>2.886751345948129E-4</v>
      </c>
      <c r="L16" s="589">
        <f>Data!X36</f>
        <v>0</v>
      </c>
      <c r="M16" s="588">
        <f>L16/1</f>
        <v>0</v>
      </c>
      <c r="N16" s="605">
        <f t="shared" si="3"/>
        <v>0</v>
      </c>
      <c r="O16" s="606">
        <f t="shared" si="6"/>
        <v>0</v>
      </c>
      <c r="P16" s="607">
        <f t="shared" si="7"/>
        <v>7.9999999999999993E-4</v>
      </c>
      <c r="Q16" s="607">
        <f t="shared" si="8"/>
        <v>2.3094010767585029E-4</v>
      </c>
      <c r="T16" s="587">
        <f t="shared" si="9"/>
        <v>3.6969009351940402E-4</v>
      </c>
      <c r="U16" s="584">
        <f>M16/1</f>
        <v>0</v>
      </c>
      <c r="V16" s="585" t="str">
        <f t="shared" si="10"/>
        <v>∞</v>
      </c>
      <c r="W16" s="619">
        <f t="shared" si="11"/>
        <v>2</v>
      </c>
      <c r="X16" s="620">
        <f t="shared" si="12"/>
        <v>7.3938018703880804E-4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608" t="s">
        <v>201</v>
      </c>
      <c r="C18" s="609">
        <f>Data!R3</f>
        <v>23</v>
      </c>
      <c r="D18" s="610"/>
      <c r="E18" s="18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611" t="s">
        <v>202</v>
      </c>
      <c r="C19" s="612">
        <f>Data!U3</f>
        <v>50</v>
      </c>
      <c r="D19" s="613"/>
      <c r="E19" s="18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611" t="s">
        <v>147</v>
      </c>
      <c r="C20" s="614" t="str">
        <f>CONCATENATE(Data!D9,"-",Data!G9," g.")</f>
        <v>0-200 g.</v>
      </c>
      <c r="D20" s="615"/>
      <c r="E20" s="18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611" t="s">
        <v>203</v>
      </c>
      <c r="C21" s="614">
        <f>((0.34848*1006.1)-((0.009*C19)*(EXP(0.061*C18))))/(273.15+C18)</f>
        <v>1.1776984814282181</v>
      </c>
      <c r="D21" s="615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616" t="s">
        <v>204</v>
      </c>
      <c r="C22" s="617">
        <f>resuuc</f>
        <v>1E-3</v>
      </c>
      <c r="D22" s="618"/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23.25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23.25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23.25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>
      <c r="B53" s="22"/>
      <c r="C53" s="22"/>
      <c r="D53" s="22"/>
      <c r="E53" s="22"/>
      <c r="F53" s="22"/>
      <c r="G53" s="23"/>
    </row>
    <row r="54" spans="2:18">
      <c r="B54" s="22"/>
      <c r="C54" s="22"/>
      <c r="D54" s="22"/>
      <c r="E54" s="22"/>
      <c r="F54" s="22"/>
      <c r="G54" s="23"/>
    </row>
    <row r="55" spans="2:18">
      <c r="B55" s="22"/>
      <c r="C55" s="22"/>
      <c r="D55" s="22"/>
      <c r="E55" s="22"/>
      <c r="F55" s="22"/>
      <c r="G55" s="23"/>
    </row>
    <row r="56" spans="2:18">
      <c r="B56" s="22"/>
      <c r="C56" s="22"/>
      <c r="D56" s="22"/>
      <c r="E56" s="22"/>
      <c r="F56" s="22"/>
      <c r="G56" s="23"/>
    </row>
    <row r="57" spans="2:18">
      <c r="B57" s="22"/>
      <c r="C57" s="22"/>
      <c r="D57" s="22"/>
      <c r="E57" s="22"/>
      <c r="F57" s="22"/>
      <c r="G57" s="23"/>
    </row>
    <row r="58" spans="2:18">
      <c r="B58" s="22"/>
      <c r="C58" s="22"/>
      <c r="D58" s="22"/>
      <c r="E58" s="22"/>
      <c r="F58" s="22"/>
      <c r="G58" s="23"/>
    </row>
    <row r="59" spans="2:18">
      <c r="B59" s="22"/>
      <c r="C59" s="22"/>
      <c r="D59" s="22"/>
      <c r="E59" s="22"/>
      <c r="F59" s="22"/>
      <c r="G59" s="23"/>
    </row>
    <row r="60" spans="2:18">
      <c r="B60" s="22"/>
      <c r="C60" s="22"/>
      <c r="D60" s="22"/>
      <c r="E60" s="22"/>
      <c r="F60" s="22"/>
      <c r="G60" s="23"/>
    </row>
    <row r="61" spans="2:18">
      <c r="B61" s="22"/>
      <c r="C61" s="22"/>
      <c r="D61" s="22"/>
      <c r="E61" s="22"/>
      <c r="F61" s="22"/>
      <c r="G61" s="23"/>
    </row>
    <row r="62" spans="2:18">
      <c r="B62" s="22"/>
      <c r="C62" s="22"/>
      <c r="D62" s="22"/>
      <c r="E62" s="22"/>
      <c r="F62" s="22"/>
      <c r="G62" s="23"/>
    </row>
    <row r="63" spans="2:18">
      <c r="B63" s="22"/>
      <c r="C63" s="22"/>
      <c r="D63" s="22"/>
      <c r="E63" s="22"/>
      <c r="F63" s="22"/>
      <c r="G63" s="23"/>
    </row>
    <row r="64" spans="2:18">
      <c r="B64" s="22"/>
      <c r="C64" s="22"/>
      <c r="D64" s="22"/>
      <c r="E64" s="22"/>
      <c r="F64" s="22"/>
      <c r="G64" s="23"/>
    </row>
    <row r="65" spans="2:7">
      <c r="B65" s="22"/>
      <c r="C65" s="22"/>
      <c r="D65" s="22"/>
      <c r="E65" s="22"/>
      <c r="F65" s="22"/>
      <c r="G65" s="23"/>
    </row>
    <row r="66" spans="2:7">
      <c r="B66" s="22"/>
      <c r="C66" s="22"/>
      <c r="D66" s="22"/>
      <c r="E66" s="22"/>
      <c r="F66" s="22"/>
      <c r="G66" s="23"/>
    </row>
    <row r="67" spans="2:7">
      <c r="B67" s="22"/>
      <c r="C67" s="22"/>
      <c r="D67" s="22"/>
      <c r="E67" s="22"/>
      <c r="F67" s="22"/>
      <c r="G67" s="23"/>
    </row>
    <row r="68" spans="2:7">
      <c r="B68" s="22"/>
      <c r="C68" s="22"/>
      <c r="D68" s="22"/>
      <c r="E68" s="22"/>
      <c r="F68" s="22"/>
      <c r="G68" s="23"/>
    </row>
    <row r="69" spans="2:7">
      <c r="B69" s="22"/>
      <c r="C69" s="22"/>
      <c r="D69" s="22"/>
      <c r="E69" s="22"/>
      <c r="F69" s="22"/>
      <c r="G69" s="23"/>
    </row>
    <row r="70" spans="2:7">
      <c r="B70" s="22"/>
      <c r="C70" s="22"/>
      <c r="D70" s="22"/>
      <c r="E70" s="22"/>
      <c r="F70" s="22"/>
      <c r="G70" s="23"/>
    </row>
    <row r="71" spans="2:7">
      <c r="B71" s="22"/>
      <c r="C71" s="22"/>
      <c r="D71" s="22"/>
      <c r="E71" s="22"/>
      <c r="F71" s="22"/>
      <c r="G71" s="23"/>
    </row>
    <row r="72" spans="2:7">
      <c r="B72" s="22"/>
      <c r="C72" s="22"/>
      <c r="D72" s="22"/>
      <c r="E72" s="22"/>
      <c r="F72" s="22"/>
      <c r="G72" s="23"/>
    </row>
    <row r="73" spans="2:7">
      <c r="B73" s="22"/>
      <c r="C73" s="22"/>
      <c r="D73" s="22"/>
      <c r="E73" s="22"/>
      <c r="F73" s="22"/>
      <c r="G73" s="23"/>
    </row>
    <row r="74" spans="2:7">
      <c r="B74" s="22"/>
      <c r="C74" s="22"/>
      <c r="D74" s="22"/>
      <c r="E74" s="22"/>
      <c r="F74" s="22"/>
      <c r="G74" s="23"/>
    </row>
    <row r="75" spans="2:7">
      <c r="B75" s="22"/>
      <c r="C75" s="22"/>
      <c r="D75" s="22"/>
      <c r="E75" s="22"/>
      <c r="F75" s="22"/>
      <c r="G75" s="23"/>
    </row>
    <row r="76" spans="2:7">
      <c r="B76" s="22"/>
      <c r="C76" s="22"/>
      <c r="D76" s="22"/>
      <c r="E76" s="22"/>
      <c r="F76" s="22"/>
      <c r="G76" s="23"/>
    </row>
    <row r="77" spans="2:7">
      <c r="B77" s="22"/>
      <c r="C77" s="22"/>
      <c r="D77" s="22"/>
      <c r="E77" s="22"/>
      <c r="F77" s="22"/>
      <c r="G77" s="23"/>
    </row>
    <row r="78" spans="2:7">
      <c r="B78" s="22"/>
      <c r="C78" s="22"/>
      <c r="D78" s="22"/>
      <c r="E78" s="22"/>
      <c r="F78" s="22"/>
      <c r="G78" s="23"/>
    </row>
    <row r="79" spans="2:7">
      <c r="B79" s="22"/>
      <c r="C79" s="22"/>
      <c r="D79" s="22"/>
      <c r="E79" s="22"/>
      <c r="F79" s="22"/>
      <c r="G79" s="23"/>
    </row>
    <row r="80" spans="2:7">
      <c r="B80" s="22"/>
      <c r="C80" s="22"/>
      <c r="D80" s="22"/>
      <c r="E80" s="22"/>
      <c r="F80" s="22"/>
      <c r="G80" s="23"/>
    </row>
    <row r="81" spans="2:7">
      <c r="B81" s="22"/>
      <c r="C81" s="22"/>
      <c r="D81" s="22"/>
      <c r="E81" s="22"/>
      <c r="F81" s="22"/>
      <c r="G81" s="23"/>
    </row>
    <row r="82" spans="2:7">
      <c r="B82" s="22"/>
      <c r="C82" s="22"/>
      <c r="D82" s="22"/>
      <c r="E82" s="22"/>
      <c r="F82" s="22"/>
      <c r="G82" s="23"/>
    </row>
    <row r="83" spans="2:7">
      <c r="B83" s="22"/>
      <c r="C83" s="22"/>
      <c r="D83" s="22"/>
      <c r="E83" s="22"/>
      <c r="F83" s="22"/>
      <c r="G83" s="23"/>
    </row>
    <row r="84" spans="2:7">
      <c r="B84" s="22"/>
      <c r="C84" s="22"/>
      <c r="D84" s="22"/>
      <c r="E84" s="22"/>
      <c r="F84" s="22"/>
      <c r="G84" s="23"/>
    </row>
    <row r="85" spans="2:7">
      <c r="B85" s="22"/>
      <c r="C85" s="22"/>
      <c r="D85" s="22"/>
      <c r="E85" s="22"/>
      <c r="F85" s="22"/>
      <c r="G85" s="23"/>
    </row>
    <row r="86" spans="2:7">
      <c r="B86" s="22"/>
      <c r="C86" s="22"/>
      <c r="D86" s="22"/>
      <c r="E86" s="22"/>
      <c r="F86" s="22"/>
      <c r="G86" s="23"/>
    </row>
    <row r="91" spans="2:7">
      <c r="B91" s="22"/>
      <c r="C91" s="22"/>
      <c r="D91" s="22"/>
      <c r="E91" s="22"/>
      <c r="F91" s="22"/>
      <c r="G91" s="24" t="s">
        <v>28</v>
      </c>
    </row>
    <row r="92" spans="2:7">
      <c r="B92" s="25" t="s">
        <v>0</v>
      </c>
      <c r="C92" s="22"/>
      <c r="D92" s="22"/>
      <c r="E92" s="22"/>
      <c r="F92" s="22"/>
      <c r="G92" s="25" t="s">
        <v>29</v>
      </c>
    </row>
    <row r="93" spans="2:7">
      <c r="B93" s="25" t="s">
        <v>30</v>
      </c>
      <c r="C93" s="22"/>
      <c r="D93" s="22"/>
      <c r="E93" s="22"/>
      <c r="F93" s="22"/>
      <c r="G93" s="25" t="s">
        <v>31</v>
      </c>
    </row>
    <row r="94" spans="2:7">
      <c r="B94" s="22" t="s">
        <v>32</v>
      </c>
      <c r="C94" s="22"/>
      <c r="D94" s="22"/>
      <c r="E94" s="22"/>
      <c r="F94" s="22"/>
      <c r="G94" s="22" t="s">
        <v>33</v>
      </c>
    </row>
    <row r="95" spans="2:7">
      <c r="B95" s="22">
        <v>1</v>
      </c>
      <c r="C95" s="22"/>
      <c r="D95" s="22"/>
      <c r="E95" s="22"/>
      <c r="F95" s="22"/>
      <c r="G95" s="23">
        <v>0.03</v>
      </c>
    </row>
    <row r="96" spans="2:7">
      <c r="B96" s="22">
        <v>1.0049999999999999</v>
      </c>
      <c r="C96" s="22"/>
      <c r="D96" s="22"/>
      <c r="E96" s="22"/>
      <c r="F96" s="22"/>
      <c r="G96" s="23">
        <v>0.05</v>
      </c>
    </row>
    <row r="97" spans="2:7">
      <c r="B97" s="22">
        <v>1.01</v>
      </c>
      <c r="C97" s="22"/>
      <c r="D97" s="22"/>
      <c r="E97" s="22"/>
      <c r="F97" s="22"/>
      <c r="G97" s="23">
        <v>0.04</v>
      </c>
    </row>
    <row r="98" spans="2:7">
      <c r="B98" s="22">
        <v>1.02</v>
      </c>
      <c r="C98" s="22"/>
      <c r="D98" s="22"/>
      <c r="E98" s="22"/>
      <c r="F98" s="22"/>
      <c r="G98" s="23">
        <v>7.0000000000000007E-2</v>
      </c>
    </row>
    <row r="99" spans="2:7">
      <c r="B99" s="22">
        <v>1.03</v>
      </c>
      <c r="C99" s="22"/>
      <c r="D99" s="22"/>
      <c r="E99" s="22"/>
      <c r="F99" s="22"/>
      <c r="G99" s="23">
        <v>0.04</v>
      </c>
    </row>
    <row r="100" spans="2:7">
      <c r="B100" s="22">
        <v>1.04</v>
      </c>
      <c r="C100" s="22"/>
      <c r="D100" s="22"/>
      <c r="E100" s="22"/>
      <c r="F100" s="22"/>
      <c r="G100" s="23">
        <v>0.04</v>
      </c>
    </row>
    <row r="101" spans="2:7">
      <c r="B101" s="22">
        <v>1.05</v>
      </c>
      <c r="C101" s="22"/>
      <c r="D101" s="22"/>
      <c r="E101" s="22"/>
      <c r="F101" s="22"/>
      <c r="G101" s="23">
        <v>0.06</v>
      </c>
    </row>
    <row r="102" spans="2:7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>
      <c r="B103" s="22">
        <v>1.07</v>
      </c>
      <c r="C103" s="22"/>
      <c r="D103" s="22"/>
      <c r="E103" s="22"/>
      <c r="F103" s="22"/>
      <c r="G103" s="23">
        <v>0.08</v>
      </c>
    </row>
    <row r="104" spans="2:7">
      <c r="B104" s="22">
        <v>1.08</v>
      </c>
      <c r="C104" s="22"/>
      <c r="D104" s="22"/>
      <c r="E104" s="22"/>
      <c r="F104" s="22"/>
      <c r="G104" s="23">
        <v>0.04</v>
      </c>
    </row>
    <row r="105" spans="2:7">
      <c r="B105" s="22">
        <v>1.0900000000000001</v>
      </c>
      <c r="C105" s="22"/>
      <c r="D105" s="22"/>
      <c r="E105" s="22"/>
      <c r="F105" s="22"/>
      <c r="G105" s="23">
        <v>0.04</v>
      </c>
    </row>
    <row r="106" spans="2:7">
      <c r="B106" s="22">
        <v>1.1000000000000001</v>
      </c>
      <c r="C106" s="22"/>
      <c r="D106" s="22"/>
      <c r="E106" s="22"/>
      <c r="F106" s="22"/>
      <c r="G106" s="23">
        <v>0.04</v>
      </c>
    </row>
    <row r="107" spans="2:7">
      <c r="B107" s="22">
        <v>1.2</v>
      </c>
      <c r="C107" s="22"/>
      <c r="D107" s="22"/>
      <c r="E107" s="22"/>
      <c r="F107" s="22"/>
      <c r="G107" s="23">
        <v>0.14000000000000001</v>
      </c>
    </row>
    <row r="108" spans="2:7">
      <c r="B108" s="22">
        <v>1.3</v>
      </c>
      <c r="C108" s="22"/>
      <c r="D108" s="22"/>
      <c r="E108" s="22"/>
      <c r="F108" s="22"/>
      <c r="G108" s="23">
        <v>0.03</v>
      </c>
    </row>
    <row r="109" spans="2:7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>
      <c r="B110" s="22">
        <v>1.5</v>
      </c>
      <c r="C110" s="22"/>
      <c r="D110" s="22"/>
      <c r="E110" s="22"/>
      <c r="F110" s="22"/>
      <c r="G110" s="23">
        <v>0.02</v>
      </c>
    </row>
    <row r="111" spans="2:7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>
      <c r="B113" s="22">
        <v>1.8</v>
      </c>
      <c r="C113" s="22"/>
      <c r="D113" s="22"/>
      <c r="E113" s="22"/>
      <c r="F113" s="22"/>
      <c r="G113" s="23">
        <v>0.06</v>
      </c>
    </row>
    <row r="114" spans="2:7">
      <c r="B114" s="22">
        <v>1.9</v>
      </c>
      <c r="C114" s="22"/>
      <c r="D114" s="22"/>
      <c r="E114" s="22"/>
      <c r="F114" s="22"/>
      <c r="G114" s="23">
        <v>0.04</v>
      </c>
    </row>
    <row r="115" spans="2:7">
      <c r="B115" s="22">
        <v>2</v>
      </c>
      <c r="C115" s="22"/>
      <c r="D115" s="22"/>
      <c r="E115" s="22"/>
      <c r="F115" s="22"/>
      <c r="G115" s="23">
        <v>0.03</v>
      </c>
    </row>
    <row r="116" spans="2:7">
      <c r="B116" s="22">
        <v>3</v>
      </c>
      <c r="C116" s="22"/>
      <c r="D116" s="22"/>
      <c r="E116" s="22"/>
      <c r="F116" s="22"/>
      <c r="G116" s="23">
        <v>0.08</v>
      </c>
    </row>
    <row r="117" spans="2:7">
      <c r="B117" s="22">
        <v>4</v>
      </c>
      <c r="C117" s="22"/>
      <c r="D117" s="22"/>
      <c r="E117" s="22"/>
      <c r="F117" s="22"/>
      <c r="G117" s="23">
        <v>0.06</v>
      </c>
    </row>
    <row r="118" spans="2:7">
      <c r="B118" s="22">
        <v>5</v>
      </c>
      <c r="C118" s="22"/>
      <c r="D118" s="22"/>
      <c r="E118" s="22"/>
      <c r="F118" s="22"/>
      <c r="G118" s="23">
        <v>7.0000000000000007E-2</v>
      </c>
    </row>
    <row r="119" spans="2:7">
      <c r="B119" s="22">
        <v>6</v>
      </c>
      <c r="C119" s="22"/>
      <c r="D119" s="22"/>
      <c r="E119" s="22"/>
      <c r="F119" s="22"/>
      <c r="G119" s="23">
        <v>0.05</v>
      </c>
    </row>
    <row r="120" spans="2:7">
      <c r="B120" s="22">
        <v>7</v>
      </c>
      <c r="C120" s="22"/>
      <c r="D120" s="22"/>
      <c r="E120" s="22"/>
      <c r="F120" s="22"/>
      <c r="G120" s="23">
        <v>7.0000000000000007E-2</v>
      </c>
    </row>
    <row r="121" spans="2:7">
      <c r="B121" s="22">
        <v>8</v>
      </c>
      <c r="C121" s="22"/>
      <c r="D121" s="22"/>
      <c r="E121" s="22"/>
      <c r="F121" s="22"/>
      <c r="G121" s="23">
        <v>0.01</v>
      </c>
    </row>
    <row r="122" spans="2:7">
      <c r="B122" s="22">
        <v>9</v>
      </c>
      <c r="C122" s="22"/>
      <c r="D122" s="22"/>
      <c r="E122" s="22"/>
      <c r="F122" s="22"/>
      <c r="G122" s="23">
        <v>7.0000000000000007E-2</v>
      </c>
    </row>
    <row r="123" spans="2:7">
      <c r="B123" s="22">
        <v>10</v>
      </c>
      <c r="C123" s="22"/>
      <c r="D123" s="22"/>
      <c r="E123" s="22"/>
      <c r="F123" s="22"/>
      <c r="G123" s="23">
        <v>0.06</v>
      </c>
    </row>
    <row r="124" spans="2:7">
      <c r="B124" s="22">
        <v>11</v>
      </c>
      <c r="C124" s="22"/>
      <c r="D124" s="22"/>
      <c r="E124" s="22"/>
      <c r="F124" s="22"/>
      <c r="G124" s="23">
        <v>0.06</v>
      </c>
    </row>
    <row r="125" spans="2:7">
      <c r="B125" s="22">
        <v>12</v>
      </c>
      <c r="C125" s="22"/>
      <c r="D125" s="22"/>
      <c r="E125" s="22"/>
      <c r="F125" s="22"/>
      <c r="G125" s="23">
        <v>0.02</v>
      </c>
    </row>
    <row r="126" spans="2:7">
      <c r="B126" s="22">
        <v>13</v>
      </c>
      <c r="C126" s="22"/>
      <c r="D126" s="22"/>
      <c r="E126" s="22"/>
      <c r="F126" s="22"/>
      <c r="G126" s="23">
        <v>0.04</v>
      </c>
    </row>
    <row r="127" spans="2:7">
      <c r="B127" s="22">
        <v>14</v>
      </c>
      <c r="C127" s="22"/>
      <c r="D127" s="22"/>
      <c r="E127" s="22"/>
      <c r="F127" s="22"/>
      <c r="G127" s="23">
        <v>0.05</v>
      </c>
    </row>
    <row r="128" spans="2:7">
      <c r="B128" s="22">
        <v>15</v>
      </c>
      <c r="C128" s="22"/>
      <c r="D128" s="22"/>
      <c r="E128" s="22"/>
      <c r="F128" s="22"/>
      <c r="G128" s="23">
        <v>0.05</v>
      </c>
    </row>
    <row r="129" spans="2:7">
      <c r="B129" s="22">
        <v>16</v>
      </c>
      <c r="C129" s="22"/>
      <c r="D129" s="22"/>
      <c r="E129" s="22"/>
      <c r="F129" s="22"/>
      <c r="G129" s="23">
        <v>7.0000000000000007E-2</v>
      </c>
    </row>
    <row r="130" spans="2:7">
      <c r="B130" s="22">
        <v>17</v>
      </c>
      <c r="C130" s="22"/>
      <c r="D130" s="22"/>
      <c r="E130" s="22"/>
      <c r="F130" s="22"/>
      <c r="G130" s="23">
        <v>0.04</v>
      </c>
    </row>
    <row r="131" spans="2:7">
      <c r="B131" s="22">
        <v>18</v>
      </c>
      <c r="C131" s="22"/>
      <c r="D131" s="22"/>
      <c r="E131" s="22"/>
      <c r="F131" s="22"/>
      <c r="G131" s="23">
        <v>0.05</v>
      </c>
    </row>
    <row r="132" spans="2:7">
      <c r="B132" s="22">
        <v>19</v>
      </c>
      <c r="C132" s="22"/>
      <c r="D132" s="22"/>
      <c r="E132" s="22"/>
      <c r="F132" s="22"/>
      <c r="G132" s="23">
        <v>0.09</v>
      </c>
    </row>
    <row r="133" spans="2:7">
      <c r="B133" s="22">
        <v>20</v>
      </c>
      <c r="C133" s="22"/>
      <c r="D133" s="22"/>
      <c r="E133" s="22"/>
      <c r="F133" s="22"/>
      <c r="G133" s="23">
        <v>0.08</v>
      </c>
    </row>
    <row r="134" spans="2:7">
      <c r="B134" s="22">
        <v>21</v>
      </c>
      <c r="C134" s="22"/>
      <c r="D134" s="22"/>
      <c r="E134" s="22"/>
      <c r="F134" s="22"/>
      <c r="G134" s="23">
        <v>0.06</v>
      </c>
    </row>
    <row r="135" spans="2:7">
      <c r="B135" s="22">
        <v>22</v>
      </c>
      <c r="C135" s="22"/>
      <c r="D135" s="22"/>
      <c r="E135" s="22"/>
      <c r="F135" s="22"/>
      <c r="G135" s="23">
        <v>0.04</v>
      </c>
    </row>
    <row r="136" spans="2:7">
      <c r="B136" s="22">
        <v>23</v>
      </c>
      <c r="C136" s="22"/>
      <c r="D136" s="22"/>
      <c r="E136" s="22"/>
      <c r="F136" s="22"/>
      <c r="G136" s="23">
        <v>0.04</v>
      </c>
    </row>
    <row r="137" spans="2:7">
      <c r="B137" s="22">
        <v>24</v>
      </c>
      <c r="C137" s="22"/>
      <c r="D137" s="22"/>
      <c r="E137" s="22"/>
      <c r="F137" s="22"/>
      <c r="G137" s="23">
        <v>0.13</v>
      </c>
    </row>
    <row r="138" spans="2:7">
      <c r="B138" s="22">
        <v>25</v>
      </c>
      <c r="C138" s="22"/>
      <c r="D138" s="22"/>
      <c r="E138" s="22"/>
      <c r="F138" s="22"/>
      <c r="G138" s="23">
        <v>0.05</v>
      </c>
    </row>
    <row r="139" spans="2:7">
      <c r="B139" s="22">
        <v>50</v>
      </c>
      <c r="C139" s="22"/>
      <c r="D139" s="22"/>
      <c r="E139" s="22"/>
      <c r="F139" s="22"/>
      <c r="G139" s="23">
        <v>0.14000000000000001</v>
      </c>
    </row>
    <row r="140" spans="2:7">
      <c r="B140" s="22">
        <v>75</v>
      </c>
      <c r="C140" s="22"/>
      <c r="D140" s="22"/>
      <c r="E140" s="22"/>
      <c r="F140" s="22"/>
      <c r="G140" s="23">
        <v>0.14000000000000001</v>
      </c>
    </row>
    <row r="141" spans="2:7">
      <c r="B141" s="22">
        <v>100</v>
      </c>
      <c r="C141" s="22"/>
      <c r="D141" s="22"/>
      <c r="E141" s="22"/>
      <c r="F141" s="22"/>
      <c r="G141" s="23">
        <v>0.08</v>
      </c>
    </row>
    <row r="142" spans="2:7">
      <c r="B142" s="22">
        <v>125</v>
      </c>
      <c r="C142" s="22"/>
      <c r="D142" s="22"/>
      <c r="E142" s="22"/>
      <c r="F142" s="22"/>
      <c r="G142" s="23">
        <v>0.03</v>
      </c>
    </row>
    <row r="143" spans="2:7">
      <c r="B143" s="22">
        <v>150</v>
      </c>
      <c r="C143" s="22"/>
      <c r="D143" s="22"/>
      <c r="E143" s="22"/>
      <c r="F143" s="22"/>
      <c r="G143" s="23">
        <v>0</v>
      </c>
    </row>
    <row r="144" spans="2:7">
      <c r="B144" s="22">
        <v>175</v>
      </c>
      <c r="C144" s="22"/>
      <c r="D144" s="22"/>
      <c r="E144" s="22"/>
      <c r="F144" s="22"/>
      <c r="G144" s="23">
        <v>0</v>
      </c>
    </row>
    <row r="145" spans="2:7">
      <c r="B145" s="22">
        <v>200</v>
      </c>
      <c r="C145" s="22"/>
      <c r="D145" s="22"/>
      <c r="E145" s="22"/>
      <c r="F145" s="22"/>
      <c r="G145" s="23">
        <v>0</v>
      </c>
    </row>
    <row r="146" spans="2:7">
      <c r="B146" s="22">
        <v>250</v>
      </c>
      <c r="C146" s="22"/>
      <c r="D146" s="22"/>
      <c r="E146" s="22"/>
      <c r="F146" s="22"/>
      <c r="G146" s="23">
        <v>0</v>
      </c>
    </row>
    <row r="147" spans="2:7">
      <c r="B147" s="22">
        <v>300</v>
      </c>
      <c r="C147" s="22"/>
      <c r="D147" s="22"/>
      <c r="E147" s="22"/>
      <c r="F147" s="22"/>
      <c r="G147" s="23">
        <v>0</v>
      </c>
    </row>
    <row r="148" spans="2:7">
      <c r="B148" s="22">
        <v>400</v>
      </c>
      <c r="C148" s="22"/>
      <c r="D148" s="22"/>
      <c r="E148" s="22"/>
      <c r="F148" s="22"/>
      <c r="G148" s="23">
        <v>0</v>
      </c>
    </row>
    <row r="149" spans="2:7">
      <c r="B149" s="22">
        <v>500</v>
      </c>
      <c r="C149" s="22"/>
      <c r="D149" s="22"/>
      <c r="E149" s="22"/>
      <c r="F149" s="22"/>
      <c r="G149" s="23">
        <v>0</v>
      </c>
    </row>
    <row r="150" spans="2:7">
      <c r="B150" s="22">
        <v>600</v>
      </c>
      <c r="C150" s="22"/>
      <c r="D150" s="22"/>
      <c r="E150" s="22"/>
      <c r="F150" s="22"/>
      <c r="G150" s="23">
        <v>0</v>
      </c>
    </row>
    <row r="151" spans="2:7">
      <c r="B151" s="22">
        <v>700</v>
      </c>
      <c r="C151" s="22"/>
      <c r="D151" s="22"/>
      <c r="E151" s="22"/>
      <c r="F151" s="22"/>
      <c r="G151" s="23">
        <v>0</v>
      </c>
    </row>
    <row r="152" spans="2:7">
      <c r="B152" s="22">
        <v>800</v>
      </c>
      <c r="C152" s="22"/>
      <c r="D152" s="22"/>
      <c r="E152" s="22"/>
      <c r="F152" s="22"/>
      <c r="G152" s="23">
        <v>0</v>
      </c>
    </row>
    <row r="153" spans="2:7">
      <c r="B153" s="22">
        <v>900</v>
      </c>
      <c r="C153" s="22"/>
      <c r="D153" s="22"/>
      <c r="E153" s="22"/>
      <c r="F153" s="22"/>
      <c r="G153" s="23">
        <v>0</v>
      </c>
    </row>
    <row r="154" spans="2:7">
      <c r="B154" s="22">
        <v>1000</v>
      </c>
      <c r="C154" s="22"/>
      <c r="D154" s="22"/>
      <c r="E154" s="22"/>
      <c r="F154" s="22"/>
      <c r="G154" s="23">
        <v>0</v>
      </c>
    </row>
  </sheetData>
  <mergeCells count="27">
    <mergeCell ref="C18:D18"/>
    <mergeCell ref="C19:D19"/>
    <mergeCell ref="C20:D20"/>
    <mergeCell ref="C21:D21"/>
    <mergeCell ref="C22:D22"/>
    <mergeCell ref="B2:Q2"/>
    <mergeCell ref="B3:B4"/>
    <mergeCell ref="C3:G3"/>
    <mergeCell ref="H3:I3"/>
    <mergeCell ref="J3:K3"/>
    <mergeCell ref="L3:M3"/>
    <mergeCell ref="T3:T5"/>
    <mergeCell ref="U3:U5"/>
    <mergeCell ref="V3:V5"/>
    <mergeCell ref="W3:W5"/>
    <mergeCell ref="N3:O5"/>
    <mergeCell ref="P3:Q5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28" sqref="D28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465" t="s">
        <v>61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145</v>
      </c>
      <c r="B3" s="223" t="s">
        <v>169</v>
      </c>
      <c r="C3" s="222"/>
      <c r="D3" s="222"/>
      <c r="E3" s="222" t="s">
        <v>146</v>
      </c>
      <c r="F3" s="466">
        <f>setm0</f>
        <v>0</v>
      </c>
      <c r="G3" s="466"/>
      <c r="H3" s="224" t="s">
        <v>23</v>
      </c>
      <c r="I3" s="222" t="s">
        <v>147</v>
      </c>
      <c r="J3" s="222">
        <f>rang</f>
        <v>200</v>
      </c>
      <c r="K3" s="261" t="s">
        <v>23</v>
      </c>
      <c r="L3" s="225"/>
    </row>
    <row r="4" spans="1:12" ht="15" customHeight="1">
      <c r="A4" s="457" t="s">
        <v>148</v>
      </c>
      <c r="B4" s="457" t="s">
        <v>149</v>
      </c>
      <c r="C4" s="227" t="s">
        <v>150</v>
      </c>
      <c r="D4" s="467" t="s">
        <v>151</v>
      </c>
      <c r="E4" s="468"/>
      <c r="F4" s="469" t="s">
        <v>152</v>
      </c>
      <c r="G4" s="470"/>
      <c r="H4" s="457" t="s">
        <v>153</v>
      </c>
      <c r="I4" s="459" t="s">
        <v>154</v>
      </c>
      <c r="J4" s="227" t="s">
        <v>150</v>
      </c>
      <c r="K4" s="228" t="s">
        <v>151</v>
      </c>
      <c r="L4" s="457" t="s">
        <v>155</v>
      </c>
    </row>
    <row r="5" spans="1:12" ht="15" customHeight="1">
      <c r="A5" s="458"/>
      <c r="B5" s="458"/>
      <c r="C5" s="229" t="s">
        <v>156</v>
      </c>
      <c r="D5" s="461" t="s">
        <v>171</v>
      </c>
      <c r="E5" s="462"/>
      <c r="F5" s="471"/>
      <c r="G5" s="472"/>
      <c r="H5" s="458"/>
      <c r="I5" s="460"/>
      <c r="J5" s="229" t="s">
        <v>156</v>
      </c>
      <c r="K5" s="229" t="s">
        <v>172</v>
      </c>
      <c r="L5" s="458"/>
    </row>
    <row r="6" spans="1:12" ht="15" customHeight="1">
      <c r="A6" s="230" t="s">
        <v>157</v>
      </c>
      <c r="B6" s="231" t="s">
        <v>2</v>
      </c>
      <c r="C6" s="232"/>
      <c r="D6" s="268">
        <f>setm0*10^-6</f>
        <v>0</v>
      </c>
      <c r="E6" s="233"/>
      <c r="F6" s="463" t="s">
        <v>161</v>
      </c>
      <c r="G6" s="464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159</v>
      </c>
    </row>
    <row r="7" spans="1:12" ht="15" customHeight="1">
      <c r="A7" s="230" t="s">
        <v>160</v>
      </c>
      <c r="B7" s="227" t="s">
        <v>162</v>
      </c>
      <c r="C7" s="236"/>
      <c r="D7" s="269">
        <f>resuuc/2</f>
        <v>5.0000000000000001E-4</v>
      </c>
      <c r="E7" s="237"/>
      <c r="F7" s="463" t="s">
        <v>161</v>
      </c>
      <c r="G7" s="464"/>
      <c r="H7" s="238">
        <f t="shared" si="0"/>
        <v>1.7320508075688772</v>
      </c>
      <c r="I7" s="227">
        <v>1</v>
      </c>
      <c r="J7" s="227"/>
      <c r="K7" s="234">
        <f t="shared" si="1"/>
        <v>2.886751345948129E-4</v>
      </c>
      <c r="L7" s="235" t="s">
        <v>159</v>
      </c>
    </row>
    <row r="8" spans="1:12" ht="15" customHeight="1">
      <c r="A8" s="230" t="s">
        <v>163</v>
      </c>
      <c r="B8" s="227" t="s">
        <v>164</v>
      </c>
      <c r="C8" s="236"/>
      <c r="D8" s="268">
        <f>uucrep0</f>
        <v>0</v>
      </c>
      <c r="E8" s="237"/>
      <c r="F8" s="463" t="s">
        <v>158</v>
      </c>
      <c r="G8" s="464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463"/>
      <c r="G9" s="464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463"/>
      <c r="G10" s="464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463"/>
      <c r="G11" s="464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463"/>
      <c r="G12" s="464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463"/>
      <c r="G13" s="464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463"/>
      <c r="G14" s="464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165</v>
      </c>
      <c r="C15" s="243"/>
      <c r="D15" s="244"/>
      <c r="E15" s="244"/>
      <c r="F15" s="473" t="str">
        <f>IF(G16=2,"Normal","T-Distibution")</f>
        <v>T-Distibution</v>
      </c>
      <c r="G15" s="474"/>
      <c r="H15" s="243"/>
      <c r="I15" s="245"/>
      <c r="J15" s="246"/>
      <c r="K15" s="234">
        <f>SQRT(SUMSQ(K6:K14))</f>
        <v>2.886751345948129E-4</v>
      </c>
      <c r="L15" s="247">
        <f>IF(K17="",L7,K17)</f>
        <v>3.0000000000000004</v>
      </c>
    </row>
    <row r="16" spans="1:12" ht="15" customHeight="1">
      <c r="A16" s="248" t="s">
        <v>166</v>
      </c>
      <c r="B16" s="227" t="s">
        <v>167</v>
      </c>
      <c r="C16" s="249"/>
      <c r="D16" s="250"/>
      <c r="E16" s="250"/>
      <c r="F16" s="251" t="s">
        <v>168</v>
      </c>
      <c r="G16" s="252">
        <f>MAX(F17:I17)</f>
        <v>3.31</v>
      </c>
      <c r="H16" s="249"/>
      <c r="I16" s="253"/>
      <c r="J16" s="246"/>
      <c r="K16" s="254">
        <f>ROUNDUP((K15*G16),5)</f>
        <v>9.6000000000000002E-4</v>
      </c>
      <c r="L16" s="247">
        <f>IF(K17="",L7,K17)</f>
        <v>3.0000000000000004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3.0000000000000004</v>
      </c>
      <c r="L17" s="259"/>
    </row>
    <row r="18" spans="1:12" ht="15" customHeight="1">
      <c r="A18" s="222" t="s">
        <v>145</v>
      </c>
      <c r="B18" s="223" t="s">
        <v>169</v>
      </c>
      <c r="C18" s="222"/>
      <c r="D18" s="222"/>
      <c r="E18" s="222" t="s">
        <v>146</v>
      </c>
      <c r="F18" s="466">
        <f>setm1</f>
        <v>20</v>
      </c>
      <c r="G18" s="466"/>
      <c r="H18" s="224" t="s">
        <v>23</v>
      </c>
      <c r="I18" s="222" t="s">
        <v>147</v>
      </c>
      <c r="J18" s="222">
        <f>rang</f>
        <v>200</v>
      </c>
      <c r="K18" s="261" t="s">
        <v>23</v>
      </c>
      <c r="L18" s="225"/>
    </row>
    <row r="19" spans="1:12" ht="15" customHeight="1">
      <c r="A19" s="457" t="s">
        <v>148</v>
      </c>
      <c r="B19" s="457" t="s">
        <v>149</v>
      </c>
      <c r="C19" s="227" t="s">
        <v>150</v>
      </c>
      <c r="D19" s="467" t="s">
        <v>151</v>
      </c>
      <c r="E19" s="468"/>
      <c r="F19" s="469" t="s">
        <v>152</v>
      </c>
      <c r="G19" s="470"/>
      <c r="H19" s="457" t="s">
        <v>153</v>
      </c>
      <c r="I19" s="459" t="s">
        <v>154</v>
      </c>
      <c r="J19" s="227" t="s">
        <v>150</v>
      </c>
      <c r="K19" s="273" t="s">
        <v>151</v>
      </c>
      <c r="L19" s="457" t="s">
        <v>155</v>
      </c>
    </row>
    <row r="20" spans="1:12" ht="15" customHeight="1">
      <c r="A20" s="458"/>
      <c r="B20" s="458"/>
      <c r="C20" s="272" t="s">
        <v>156</v>
      </c>
      <c r="D20" s="461" t="s">
        <v>171</v>
      </c>
      <c r="E20" s="462"/>
      <c r="F20" s="471"/>
      <c r="G20" s="472"/>
      <c r="H20" s="458"/>
      <c r="I20" s="460"/>
      <c r="J20" s="272" t="s">
        <v>156</v>
      </c>
      <c r="K20" s="272" t="s">
        <v>172</v>
      </c>
      <c r="L20" s="458"/>
    </row>
    <row r="21" spans="1:12" ht="15" customHeight="1">
      <c r="A21" s="230" t="s">
        <v>157</v>
      </c>
      <c r="B21" s="231" t="s">
        <v>2</v>
      </c>
      <c r="C21" s="232"/>
      <c r="D21" s="268">
        <f>setm1*10^-6</f>
        <v>1.9999999999999998E-5</v>
      </c>
      <c r="E21" s="233"/>
      <c r="F21" s="463" t="s">
        <v>161</v>
      </c>
      <c r="G21" s="464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1.1547005383792516E-5</v>
      </c>
      <c r="L21" s="235" t="s">
        <v>159</v>
      </c>
    </row>
    <row r="22" spans="1:12" ht="15" customHeight="1">
      <c r="A22" s="230" t="s">
        <v>160</v>
      </c>
      <c r="B22" s="227" t="s">
        <v>162</v>
      </c>
      <c r="C22" s="236"/>
      <c r="D22" s="269">
        <f>resuuc/2</f>
        <v>5.0000000000000001E-4</v>
      </c>
      <c r="E22" s="237"/>
      <c r="F22" s="463" t="s">
        <v>161</v>
      </c>
      <c r="G22" s="464"/>
      <c r="H22" s="238">
        <f t="shared" si="2"/>
        <v>1.7320508075688772</v>
      </c>
      <c r="I22" s="227">
        <v>1</v>
      </c>
      <c r="J22" s="227"/>
      <c r="K22" s="234">
        <f t="shared" si="3"/>
        <v>2.886751345948129E-4</v>
      </c>
      <c r="L22" s="235" t="s">
        <v>159</v>
      </c>
    </row>
    <row r="23" spans="1:12" ht="15" customHeight="1">
      <c r="A23" s="230" t="s">
        <v>163</v>
      </c>
      <c r="B23" s="227" t="s">
        <v>164</v>
      </c>
      <c r="C23" s="236"/>
      <c r="D23" s="268">
        <f>uucrep1</f>
        <v>0</v>
      </c>
      <c r="E23" s="237"/>
      <c r="F23" s="463" t="s">
        <v>158</v>
      </c>
      <c r="G23" s="464"/>
      <c r="H23" s="272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463"/>
      <c r="G24" s="464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463"/>
      <c r="G25" s="464"/>
      <c r="H25" s="272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463"/>
      <c r="G26" s="464"/>
      <c r="H26" s="272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463"/>
      <c r="G27" s="464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463"/>
      <c r="G28" s="464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463"/>
      <c r="G29" s="464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165</v>
      </c>
      <c r="C30" s="243"/>
      <c r="D30" s="244"/>
      <c r="E30" s="244"/>
      <c r="F30" s="473" t="str">
        <f>IF(G31=2,"Normal","T-Distibution")</f>
        <v>T-Distibution</v>
      </c>
      <c r="G30" s="474"/>
      <c r="H30" s="243"/>
      <c r="I30" s="245"/>
      <c r="J30" s="246"/>
      <c r="K30" s="234">
        <f>SQRT(SUMSQ(K21:K29))</f>
        <v>2.8890598240027268E-4</v>
      </c>
      <c r="L30" s="247">
        <f>IF(K32="",L22,K32)</f>
        <v>3.0096076799999989</v>
      </c>
    </row>
    <row r="31" spans="1:12" ht="15" customHeight="1">
      <c r="A31" s="248" t="s">
        <v>166</v>
      </c>
      <c r="B31" s="227" t="s">
        <v>167</v>
      </c>
      <c r="C31" s="249"/>
      <c r="D31" s="250"/>
      <c r="E31" s="250"/>
      <c r="F31" s="251" t="s">
        <v>168</v>
      </c>
      <c r="G31" s="252">
        <f>MAX(F32:I32)</f>
        <v>3.31</v>
      </c>
      <c r="H31" s="249"/>
      <c r="I31" s="253"/>
      <c r="J31" s="246"/>
      <c r="K31" s="254">
        <f>ROUNDUP((K30*G31),5)</f>
        <v>9.6000000000000002E-4</v>
      </c>
      <c r="L31" s="247">
        <f>IF(K32="",L22,K32)</f>
        <v>3.0096076799999989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3.0096076799999989</v>
      </c>
      <c r="L32" s="259"/>
    </row>
    <row r="33" spans="1:12" ht="15" customHeight="1">
      <c r="A33" s="222" t="s">
        <v>145</v>
      </c>
      <c r="B33" s="223" t="s">
        <v>169</v>
      </c>
      <c r="C33" s="222"/>
      <c r="D33" s="222"/>
      <c r="E33" s="222" t="s">
        <v>146</v>
      </c>
      <c r="F33" s="466">
        <f>setm2</f>
        <v>40</v>
      </c>
      <c r="G33" s="466"/>
      <c r="H33" s="224" t="s">
        <v>23</v>
      </c>
      <c r="I33" s="222" t="s">
        <v>147</v>
      </c>
      <c r="J33" s="222">
        <f>rang</f>
        <v>200</v>
      </c>
      <c r="K33" s="261" t="s">
        <v>23</v>
      </c>
      <c r="L33" s="225"/>
    </row>
    <row r="34" spans="1:12" ht="15" customHeight="1">
      <c r="A34" s="457" t="s">
        <v>148</v>
      </c>
      <c r="B34" s="457" t="s">
        <v>149</v>
      </c>
      <c r="C34" s="227" t="s">
        <v>150</v>
      </c>
      <c r="D34" s="467" t="s">
        <v>151</v>
      </c>
      <c r="E34" s="468"/>
      <c r="F34" s="469" t="s">
        <v>152</v>
      </c>
      <c r="G34" s="470"/>
      <c r="H34" s="457" t="s">
        <v>153</v>
      </c>
      <c r="I34" s="459" t="s">
        <v>154</v>
      </c>
      <c r="J34" s="227" t="s">
        <v>150</v>
      </c>
      <c r="K34" s="228" t="s">
        <v>151</v>
      </c>
      <c r="L34" s="457" t="s">
        <v>155</v>
      </c>
    </row>
    <row r="35" spans="1:12" ht="15" customHeight="1">
      <c r="A35" s="458"/>
      <c r="B35" s="458"/>
      <c r="C35" s="229" t="s">
        <v>156</v>
      </c>
      <c r="D35" s="461" t="s">
        <v>171</v>
      </c>
      <c r="E35" s="462"/>
      <c r="F35" s="471"/>
      <c r="G35" s="472"/>
      <c r="H35" s="458"/>
      <c r="I35" s="460"/>
      <c r="J35" s="229" t="s">
        <v>156</v>
      </c>
      <c r="K35" s="229" t="s">
        <v>172</v>
      </c>
      <c r="L35" s="458"/>
    </row>
    <row r="36" spans="1:12" ht="15" customHeight="1">
      <c r="A36" s="230" t="s">
        <v>157</v>
      </c>
      <c r="B36" s="231" t="s">
        <v>2</v>
      </c>
      <c r="C36" s="232"/>
      <c r="D36" s="268">
        <f>setm2*10^-6</f>
        <v>3.9999999999999996E-5</v>
      </c>
      <c r="E36" s="233"/>
      <c r="F36" s="463" t="s">
        <v>161</v>
      </c>
      <c r="G36" s="464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2.3094010767585031E-5</v>
      </c>
      <c r="L36" s="235" t="s">
        <v>159</v>
      </c>
    </row>
    <row r="37" spans="1:12" ht="15" customHeight="1">
      <c r="A37" s="230" t="s">
        <v>160</v>
      </c>
      <c r="B37" s="227" t="s">
        <v>162</v>
      </c>
      <c r="C37" s="236"/>
      <c r="D37" s="269">
        <f>resuuc/2</f>
        <v>5.0000000000000001E-4</v>
      </c>
      <c r="E37" s="237"/>
      <c r="F37" s="463" t="s">
        <v>161</v>
      </c>
      <c r="G37" s="464"/>
      <c r="H37" s="238">
        <f t="shared" si="4"/>
        <v>1.7320508075688772</v>
      </c>
      <c r="I37" s="227">
        <v>1</v>
      </c>
      <c r="J37" s="227"/>
      <c r="K37" s="234">
        <f t="shared" si="5"/>
        <v>2.886751345948129E-4</v>
      </c>
      <c r="L37" s="235" t="s">
        <v>159</v>
      </c>
    </row>
    <row r="38" spans="1:12" ht="15" customHeight="1">
      <c r="A38" s="230" t="s">
        <v>163</v>
      </c>
      <c r="B38" s="227" t="s">
        <v>164</v>
      </c>
      <c r="C38" s="236"/>
      <c r="D38" s="268">
        <f>uucrep1</f>
        <v>0</v>
      </c>
      <c r="E38" s="237"/>
      <c r="F38" s="463" t="s">
        <v>158</v>
      </c>
      <c r="G38" s="464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463"/>
      <c r="G39" s="464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463"/>
      <c r="G40" s="464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463"/>
      <c r="G41" s="464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463"/>
      <c r="G42" s="464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463"/>
      <c r="G43" s="464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463"/>
      <c r="G44" s="464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165</v>
      </c>
      <c r="C45" s="243"/>
      <c r="D45" s="244"/>
      <c r="E45" s="244"/>
      <c r="F45" s="473" t="str">
        <f>IF(G46=2,"Normal","T-Distibution")</f>
        <v>T-Distibution</v>
      </c>
      <c r="G45" s="474"/>
      <c r="H45" s="243"/>
      <c r="I45" s="245"/>
      <c r="J45" s="246"/>
      <c r="K45" s="234">
        <f>SQRT(SUMSQ(K36:K44))</f>
        <v>2.8959742171964629E-4</v>
      </c>
      <c r="L45" s="247">
        <f>IF(K47="",L37,K47)</f>
        <v>3.0385228799999995</v>
      </c>
    </row>
    <row r="46" spans="1:12" ht="15" customHeight="1">
      <c r="A46" s="248" t="s">
        <v>166</v>
      </c>
      <c r="B46" s="227" t="s">
        <v>167</v>
      </c>
      <c r="C46" s="249"/>
      <c r="D46" s="250"/>
      <c r="E46" s="250"/>
      <c r="F46" s="251" t="s">
        <v>168</v>
      </c>
      <c r="G46" s="252">
        <f>MAX(F47:I47)</f>
        <v>3.31</v>
      </c>
      <c r="H46" s="249"/>
      <c r="I46" s="253"/>
      <c r="J46" s="246"/>
      <c r="K46" s="254">
        <f>ROUNDUP((K45*G46),5)</f>
        <v>9.6000000000000002E-4</v>
      </c>
      <c r="L46" s="247">
        <f>IF(K47="",L37,K47)</f>
        <v>3.0385228799999995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3.0385228799999995</v>
      </c>
      <c r="L47" s="259"/>
    </row>
    <row r="48" spans="1:12" ht="15" customHeight="1">
      <c r="A48" s="222" t="s">
        <v>145</v>
      </c>
      <c r="B48" s="223" t="s">
        <v>169</v>
      </c>
      <c r="C48" s="222"/>
      <c r="D48" s="222"/>
      <c r="E48" s="222" t="s">
        <v>146</v>
      </c>
      <c r="F48" s="466">
        <f>setm3</f>
        <v>60</v>
      </c>
      <c r="G48" s="466"/>
      <c r="H48" s="224" t="s">
        <v>23</v>
      </c>
      <c r="I48" s="222" t="s">
        <v>147</v>
      </c>
      <c r="J48" s="222">
        <f>rang</f>
        <v>200</v>
      </c>
      <c r="K48" s="261" t="s">
        <v>23</v>
      </c>
      <c r="L48" s="225"/>
    </row>
    <row r="49" spans="1:12" ht="15" customHeight="1">
      <c r="A49" s="457" t="s">
        <v>148</v>
      </c>
      <c r="B49" s="457" t="s">
        <v>149</v>
      </c>
      <c r="C49" s="227" t="s">
        <v>150</v>
      </c>
      <c r="D49" s="467" t="s">
        <v>151</v>
      </c>
      <c r="E49" s="468"/>
      <c r="F49" s="469" t="s">
        <v>152</v>
      </c>
      <c r="G49" s="470"/>
      <c r="H49" s="457" t="s">
        <v>153</v>
      </c>
      <c r="I49" s="459" t="s">
        <v>154</v>
      </c>
      <c r="J49" s="227" t="s">
        <v>150</v>
      </c>
      <c r="K49" s="228" t="s">
        <v>151</v>
      </c>
      <c r="L49" s="457" t="s">
        <v>155</v>
      </c>
    </row>
    <row r="50" spans="1:12" ht="15" customHeight="1">
      <c r="A50" s="458"/>
      <c r="B50" s="458"/>
      <c r="C50" s="229" t="s">
        <v>156</v>
      </c>
      <c r="D50" s="461" t="s">
        <v>171</v>
      </c>
      <c r="E50" s="462"/>
      <c r="F50" s="471"/>
      <c r="G50" s="472"/>
      <c r="H50" s="458"/>
      <c r="I50" s="460"/>
      <c r="J50" s="229" t="s">
        <v>156</v>
      </c>
      <c r="K50" s="229" t="s">
        <v>172</v>
      </c>
      <c r="L50" s="458"/>
    </row>
    <row r="51" spans="1:12" ht="15" customHeight="1">
      <c r="A51" s="230" t="s">
        <v>157</v>
      </c>
      <c r="B51" s="231" t="s">
        <v>2</v>
      </c>
      <c r="C51" s="232"/>
      <c r="D51" s="268">
        <f>setm3*10^-6</f>
        <v>5.9999999999999995E-5</v>
      </c>
      <c r="E51" s="233"/>
      <c r="F51" s="463" t="s">
        <v>161</v>
      </c>
      <c r="G51" s="464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3.4641016151377547E-5</v>
      </c>
      <c r="L51" s="235" t="s">
        <v>159</v>
      </c>
    </row>
    <row r="52" spans="1:12" ht="15" customHeight="1">
      <c r="A52" s="230" t="s">
        <v>160</v>
      </c>
      <c r="B52" s="227" t="s">
        <v>162</v>
      </c>
      <c r="C52" s="236"/>
      <c r="D52" s="269">
        <f>resuuc/2</f>
        <v>5.0000000000000001E-4</v>
      </c>
      <c r="E52" s="237"/>
      <c r="F52" s="463" t="s">
        <v>161</v>
      </c>
      <c r="G52" s="464"/>
      <c r="H52" s="238">
        <f t="shared" si="6"/>
        <v>1.7320508075688772</v>
      </c>
      <c r="I52" s="227">
        <v>1</v>
      </c>
      <c r="J52" s="227"/>
      <c r="K52" s="234">
        <f t="shared" si="7"/>
        <v>2.886751345948129E-4</v>
      </c>
      <c r="L52" s="235" t="s">
        <v>159</v>
      </c>
    </row>
    <row r="53" spans="1:12" ht="15" customHeight="1">
      <c r="A53" s="230" t="s">
        <v>163</v>
      </c>
      <c r="B53" s="227" t="s">
        <v>164</v>
      </c>
      <c r="C53" s="236"/>
      <c r="D53" s="268">
        <f>uucrep1</f>
        <v>0</v>
      </c>
      <c r="E53" s="237"/>
      <c r="F53" s="463" t="s">
        <v>158</v>
      </c>
      <c r="G53" s="464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463"/>
      <c r="G54" s="464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463"/>
      <c r="G55" s="464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463"/>
      <c r="G56" s="464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463"/>
      <c r="G57" s="464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463"/>
      <c r="G58" s="464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463"/>
      <c r="G59" s="464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165</v>
      </c>
      <c r="C60" s="243"/>
      <c r="D60" s="244"/>
      <c r="E60" s="244"/>
      <c r="F60" s="473" t="str">
        <f>IF(G61=2,"Normal","T-Distibution")</f>
        <v>T-Distibution</v>
      </c>
      <c r="G60" s="474"/>
      <c r="H60" s="243"/>
      <c r="I60" s="245"/>
      <c r="J60" s="246"/>
      <c r="K60" s="234">
        <f>SQRT(SUMSQ(K51:K59))</f>
        <v>2.90746166498087E-4</v>
      </c>
      <c r="L60" s="247">
        <f>IF(K62="",L52,K62)</f>
        <v>3.0870220799999988</v>
      </c>
    </row>
    <row r="61" spans="1:12" ht="15" customHeight="1">
      <c r="A61" s="248" t="s">
        <v>166</v>
      </c>
      <c r="B61" s="227" t="s">
        <v>167</v>
      </c>
      <c r="C61" s="249"/>
      <c r="D61" s="250"/>
      <c r="E61" s="250"/>
      <c r="F61" s="251" t="s">
        <v>168</v>
      </c>
      <c r="G61" s="252">
        <f>MAX(F62:I62)</f>
        <v>3.31</v>
      </c>
      <c r="H61" s="249"/>
      <c r="I61" s="253"/>
      <c r="J61" s="246"/>
      <c r="K61" s="254">
        <f>ROUNDUP((K60*G61),5)</f>
        <v>9.7000000000000005E-4</v>
      </c>
      <c r="L61" s="247">
        <f>IF(K62="",L52,K62)</f>
        <v>3.0870220799999988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3.0870220799999988</v>
      </c>
      <c r="L62" s="259"/>
    </row>
    <row r="63" spans="1:12" ht="15" customHeight="1">
      <c r="A63" s="222" t="s">
        <v>145</v>
      </c>
      <c r="B63" s="223" t="s">
        <v>169</v>
      </c>
      <c r="C63" s="222"/>
      <c r="D63" s="222"/>
      <c r="E63" s="222" t="s">
        <v>146</v>
      </c>
      <c r="F63" s="466">
        <f>setm4</f>
        <v>80</v>
      </c>
      <c r="G63" s="466"/>
      <c r="H63" s="224" t="s">
        <v>23</v>
      </c>
      <c r="I63" s="222" t="s">
        <v>147</v>
      </c>
      <c r="J63" s="222">
        <f>rang</f>
        <v>200</v>
      </c>
      <c r="K63" s="261" t="s">
        <v>23</v>
      </c>
      <c r="L63" s="225"/>
    </row>
    <row r="64" spans="1:12" ht="15" customHeight="1">
      <c r="A64" s="457" t="s">
        <v>148</v>
      </c>
      <c r="B64" s="457" t="s">
        <v>149</v>
      </c>
      <c r="C64" s="227" t="s">
        <v>150</v>
      </c>
      <c r="D64" s="467" t="s">
        <v>151</v>
      </c>
      <c r="E64" s="468"/>
      <c r="F64" s="469" t="s">
        <v>152</v>
      </c>
      <c r="G64" s="470"/>
      <c r="H64" s="457" t="s">
        <v>153</v>
      </c>
      <c r="I64" s="459" t="s">
        <v>154</v>
      </c>
      <c r="J64" s="227" t="s">
        <v>150</v>
      </c>
      <c r="K64" s="228" t="s">
        <v>151</v>
      </c>
      <c r="L64" s="457" t="s">
        <v>155</v>
      </c>
    </row>
    <row r="65" spans="1:12" ht="15" customHeight="1">
      <c r="A65" s="458"/>
      <c r="B65" s="458"/>
      <c r="C65" s="229" t="s">
        <v>156</v>
      </c>
      <c r="D65" s="461" t="s">
        <v>171</v>
      </c>
      <c r="E65" s="462"/>
      <c r="F65" s="471"/>
      <c r="G65" s="472"/>
      <c r="H65" s="458"/>
      <c r="I65" s="460"/>
      <c r="J65" s="229" t="s">
        <v>156</v>
      </c>
      <c r="K65" s="229" t="s">
        <v>172</v>
      </c>
      <c r="L65" s="458"/>
    </row>
    <row r="66" spans="1:12" ht="15" customHeight="1">
      <c r="A66" s="230" t="s">
        <v>157</v>
      </c>
      <c r="B66" s="231" t="s">
        <v>2</v>
      </c>
      <c r="C66" s="232"/>
      <c r="D66" s="268">
        <f>setm4*10^-6</f>
        <v>7.9999999999999993E-5</v>
      </c>
      <c r="E66" s="233"/>
      <c r="F66" s="463" t="s">
        <v>161</v>
      </c>
      <c r="G66" s="464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4.6188021535170063E-5</v>
      </c>
      <c r="L66" s="235" t="s">
        <v>159</v>
      </c>
    </row>
    <row r="67" spans="1:12" ht="15" customHeight="1">
      <c r="A67" s="230" t="s">
        <v>160</v>
      </c>
      <c r="B67" s="227" t="s">
        <v>162</v>
      </c>
      <c r="C67" s="236"/>
      <c r="D67" s="269">
        <f>resuuc/2</f>
        <v>5.0000000000000001E-4</v>
      </c>
      <c r="E67" s="237"/>
      <c r="F67" s="463" t="s">
        <v>161</v>
      </c>
      <c r="G67" s="464"/>
      <c r="H67" s="238">
        <f t="shared" si="8"/>
        <v>1.7320508075688772</v>
      </c>
      <c r="I67" s="227">
        <v>1</v>
      </c>
      <c r="J67" s="227"/>
      <c r="K67" s="234">
        <f t="shared" si="9"/>
        <v>2.886751345948129E-4</v>
      </c>
      <c r="L67" s="235" t="s">
        <v>159</v>
      </c>
    </row>
    <row r="68" spans="1:12" ht="15" customHeight="1">
      <c r="A68" s="230" t="s">
        <v>163</v>
      </c>
      <c r="B68" s="227" t="s">
        <v>164</v>
      </c>
      <c r="C68" s="236"/>
      <c r="D68" s="268">
        <f>uucrep1</f>
        <v>0</v>
      </c>
      <c r="E68" s="237"/>
      <c r="F68" s="463" t="s">
        <v>158</v>
      </c>
      <c r="G68" s="464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463"/>
      <c r="G69" s="464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463"/>
      <c r="G70" s="464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463"/>
      <c r="G71" s="464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463"/>
      <c r="G72" s="464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463"/>
      <c r="G73" s="464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463"/>
      <c r="G74" s="464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165</v>
      </c>
      <c r="C75" s="243"/>
      <c r="D75" s="244"/>
      <c r="E75" s="244"/>
      <c r="F75" s="473" t="str">
        <f>IF(G76=2,"Normal","T-Distibution")</f>
        <v>T-Distibution</v>
      </c>
      <c r="G75" s="474"/>
      <c r="H75" s="243"/>
      <c r="I75" s="245"/>
      <c r="J75" s="246"/>
      <c r="K75" s="234">
        <f>SQRT(SUMSQ(K66:K74))</f>
        <v>2.9234682599040934E-4</v>
      </c>
      <c r="L75" s="247">
        <f>IF(K77="",L67,K77)</f>
        <v>3.1555660800000003</v>
      </c>
    </row>
    <row r="76" spans="1:12" ht="15" customHeight="1">
      <c r="A76" s="248" t="s">
        <v>166</v>
      </c>
      <c r="B76" s="227" t="s">
        <v>167</v>
      </c>
      <c r="C76" s="249"/>
      <c r="D76" s="250"/>
      <c r="E76" s="250"/>
      <c r="F76" s="251" t="s">
        <v>168</v>
      </c>
      <c r="G76" s="252">
        <f>MAX(F77:I77)</f>
        <v>3.31</v>
      </c>
      <c r="H76" s="249"/>
      <c r="I76" s="253"/>
      <c r="J76" s="246"/>
      <c r="K76" s="254">
        <f>ROUNDUP((K75*G76),5)</f>
        <v>9.7000000000000005E-4</v>
      </c>
      <c r="L76" s="247">
        <f>IF(K77="",L67,K77)</f>
        <v>3.1555660800000003</v>
      </c>
    </row>
    <row r="77" spans="1:12" ht="15" customHeight="1">
      <c r="C77" s="255"/>
      <c r="D77" s="255"/>
      <c r="E77" s="256"/>
      <c r="F77" s="257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7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3.1555660800000003</v>
      </c>
      <c r="L77" s="259"/>
    </row>
    <row r="78" spans="1:12" ht="15" customHeight="1">
      <c r="A78" s="222" t="s">
        <v>145</v>
      </c>
      <c r="B78" s="223" t="s">
        <v>169</v>
      </c>
      <c r="C78" s="222"/>
      <c r="D78" s="222"/>
      <c r="E78" s="222" t="s">
        <v>146</v>
      </c>
      <c r="F78" s="466">
        <f>setm5</f>
        <v>100</v>
      </c>
      <c r="G78" s="466"/>
      <c r="H78" s="224" t="s">
        <v>23</v>
      </c>
      <c r="I78" s="222" t="s">
        <v>147</v>
      </c>
      <c r="J78" s="222">
        <f>rang</f>
        <v>200</v>
      </c>
      <c r="K78" s="261" t="s">
        <v>23</v>
      </c>
      <c r="L78" s="225"/>
    </row>
    <row r="79" spans="1:12" ht="15" customHeight="1">
      <c r="A79" s="457" t="s">
        <v>148</v>
      </c>
      <c r="B79" s="457" t="s">
        <v>149</v>
      </c>
      <c r="C79" s="227" t="s">
        <v>150</v>
      </c>
      <c r="D79" s="467" t="s">
        <v>151</v>
      </c>
      <c r="E79" s="468"/>
      <c r="F79" s="469" t="s">
        <v>152</v>
      </c>
      <c r="G79" s="470"/>
      <c r="H79" s="457" t="s">
        <v>153</v>
      </c>
      <c r="I79" s="459" t="s">
        <v>154</v>
      </c>
      <c r="J79" s="227" t="s">
        <v>150</v>
      </c>
      <c r="K79" s="228" t="s">
        <v>151</v>
      </c>
      <c r="L79" s="457" t="s">
        <v>155</v>
      </c>
    </row>
    <row r="80" spans="1:12" ht="15" customHeight="1">
      <c r="A80" s="458"/>
      <c r="B80" s="458"/>
      <c r="C80" s="229" t="s">
        <v>156</v>
      </c>
      <c r="D80" s="461" t="s">
        <v>171</v>
      </c>
      <c r="E80" s="462"/>
      <c r="F80" s="471"/>
      <c r="G80" s="472"/>
      <c r="H80" s="458"/>
      <c r="I80" s="460"/>
      <c r="J80" s="229" t="s">
        <v>156</v>
      </c>
      <c r="K80" s="229" t="s">
        <v>172</v>
      </c>
      <c r="L80" s="458"/>
    </row>
    <row r="81" spans="1:12" ht="15" customHeight="1">
      <c r="A81" s="230" t="s">
        <v>157</v>
      </c>
      <c r="B81" s="231" t="s">
        <v>2</v>
      </c>
      <c r="C81" s="232"/>
      <c r="D81" s="268">
        <f>setm5*10^-6</f>
        <v>9.9999999999999991E-5</v>
      </c>
      <c r="E81" s="233"/>
      <c r="F81" s="463" t="s">
        <v>161</v>
      </c>
      <c r="G81" s="464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5.7735026918962572E-5</v>
      </c>
      <c r="L81" s="235" t="s">
        <v>159</v>
      </c>
    </row>
    <row r="82" spans="1:12" ht="15" customHeight="1">
      <c r="A82" s="230" t="s">
        <v>160</v>
      </c>
      <c r="B82" s="227" t="s">
        <v>162</v>
      </c>
      <c r="C82" s="236"/>
      <c r="D82" s="269">
        <f>resuuc/2</f>
        <v>5.0000000000000001E-4</v>
      </c>
      <c r="E82" s="237"/>
      <c r="F82" s="463" t="s">
        <v>161</v>
      </c>
      <c r="G82" s="464"/>
      <c r="H82" s="238">
        <f t="shared" si="10"/>
        <v>1.7320508075688772</v>
      </c>
      <c r="I82" s="227">
        <v>1</v>
      </c>
      <c r="J82" s="227"/>
      <c r="K82" s="234">
        <f t="shared" si="11"/>
        <v>2.886751345948129E-4</v>
      </c>
      <c r="L82" s="235" t="s">
        <v>159</v>
      </c>
    </row>
    <row r="83" spans="1:12" ht="15" customHeight="1">
      <c r="A83" s="230" t="s">
        <v>163</v>
      </c>
      <c r="B83" s="227" t="s">
        <v>164</v>
      </c>
      <c r="C83" s="236"/>
      <c r="D83" s="268">
        <f>uucrep1</f>
        <v>0</v>
      </c>
      <c r="E83" s="237"/>
      <c r="F83" s="463" t="s">
        <v>158</v>
      </c>
      <c r="G83" s="464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463"/>
      <c r="G84" s="464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463"/>
      <c r="G85" s="464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463"/>
      <c r="G86" s="464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463"/>
      <c r="G87" s="464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463"/>
      <c r="G88" s="464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463"/>
      <c r="G89" s="464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165</v>
      </c>
      <c r="C90" s="243"/>
      <c r="D90" s="244"/>
      <c r="E90" s="244"/>
      <c r="F90" s="473" t="str">
        <f>IF(G91=2,"Normal","T-Distibution")</f>
        <v>T-Distibution</v>
      </c>
      <c r="G90" s="474"/>
      <c r="H90" s="243"/>
      <c r="I90" s="245"/>
      <c r="J90" s="246"/>
      <c r="K90" s="234">
        <f>SQRT(SUMSQ(K81:K89))</f>
        <v>2.9439202887759491E-4</v>
      </c>
      <c r="L90" s="247">
        <f>IF(K92="",L82,K92)</f>
        <v>3.2448000000000001</v>
      </c>
    </row>
    <row r="91" spans="1:12" ht="15" customHeight="1">
      <c r="A91" s="248" t="s">
        <v>166</v>
      </c>
      <c r="B91" s="227" t="s">
        <v>167</v>
      </c>
      <c r="C91" s="249"/>
      <c r="D91" s="250"/>
      <c r="E91" s="250"/>
      <c r="F91" s="251" t="s">
        <v>168</v>
      </c>
      <c r="G91" s="252">
        <f>MAX(F92:I92)</f>
        <v>3.31</v>
      </c>
      <c r="H91" s="249"/>
      <c r="I91" s="253"/>
      <c r="J91" s="246"/>
      <c r="K91" s="254">
        <f>ROUNDUP((K90*G91),5)</f>
        <v>9.7999999999999997E-4</v>
      </c>
      <c r="L91" s="247">
        <f>IF(K92="",L82,K92)</f>
        <v>3.2448000000000001</v>
      </c>
    </row>
    <row r="92" spans="1:12" ht="15" customHeight="1">
      <c r="C92" s="255"/>
      <c r="D92" s="255"/>
      <c r="E92" s="256"/>
      <c r="F92" s="257">
        <f>IF(AND(K92&gt;=0,K92&lt;2),13.97, IF(AND(K92&gt;=2,K92&lt;3),4.53, IF(AND(K92&gt;=3,K92&lt;4),3.31, IF(AND(K92&gt;=4,K92&lt;5),2.87, IF(AND(K92&gt;=5,K92&lt;6),2.65, IF(AND(K92&gt;=6,K92&lt;7),2.52, IF(AND(K92&gt;=7,K92&lt;8),2.43,"")))))))</f>
        <v>3.31</v>
      </c>
      <c r="G92" s="257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3.2448000000000001</v>
      </c>
      <c r="L92" s="259"/>
    </row>
    <row r="93" spans="1:12" ht="15" customHeight="1">
      <c r="A93" s="222" t="s">
        <v>145</v>
      </c>
      <c r="B93" s="223" t="s">
        <v>169</v>
      </c>
      <c r="C93" s="222"/>
      <c r="D93" s="222"/>
      <c r="E93" s="222" t="s">
        <v>146</v>
      </c>
      <c r="F93" s="466">
        <f>setm6</f>
        <v>120</v>
      </c>
      <c r="G93" s="466"/>
      <c r="H93" s="224" t="s">
        <v>23</v>
      </c>
      <c r="I93" s="222" t="s">
        <v>147</v>
      </c>
      <c r="J93" s="222">
        <f>rang</f>
        <v>200</v>
      </c>
      <c r="K93" s="261" t="s">
        <v>23</v>
      </c>
      <c r="L93" s="225"/>
    </row>
    <row r="94" spans="1:12" ht="15" customHeight="1">
      <c r="A94" s="457" t="s">
        <v>148</v>
      </c>
      <c r="B94" s="457" t="s">
        <v>149</v>
      </c>
      <c r="C94" s="227" t="s">
        <v>150</v>
      </c>
      <c r="D94" s="467" t="s">
        <v>151</v>
      </c>
      <c r="E94" s="468"/>
      <c r="F94" s="469" t="s">
        <v>152</v>
      </c>
      <c r="G94" s="470"/>
      <c r="H94" s="457" t="s">
        <v>153</v>
      </c>
      <c r="I94" s="459" t="s">
        <v>154</v>
      </c>
      <c r="J94" s="227" t="s">
        <v>150</v>
      </c>
      <c r="K94" s="228" t="s">
        <v>151</v>
      </c>
      <c r="L94" s="457" t="s">
        <v>155</v>
      </c>
    </row>
    <row r="95" spans="1:12" ht="15" customHeight="1">
      <c r="A95" s="458"/>
      <c r="B95" s="458"/>
      <c r="C95" s="229" t="s">
        <v>156</v>
      </c>
      <c r="D95" s="461" t="s">
        <v>171</v>
      </c>
      <c r="E95" s="462"/>
      <c r="F95" s="471"/>
      <c r="G95" s="472"/>
      <c r="H95" s="458"/>
      <c r="I95" s="460"/>
      <c r="J95" s="229" t="s">
        <v>156</v>
      </c>
      <c r="K95" s="229" t="s">
        <v>172</v>
      </c>
      <c r="L95" s="458"/>
    </row>
    <row r="96" spans="1:12" ht="15" customHeight="1">
      <c r="A96" s="230" t="s">
        <v>157</v>
      </c>
      <c r="B96" s="231" t="s">
        <v>2</v>
      </c>
      <c r="C96" s="232"/>
      <c r="D96" s="268">
        <f>setm6*10^-6</f>
        <v>1.1999999999999999E-4</v>
      </c>
      <c r="E96" s="233"/>
      <c r="F96" s="463" t="s">
        <v>161</v>
      </c>
      <c r="G96" s="464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6.9282032302755094E-5</v>
      </c>
      <c r="L96" s="235" t="s">
        <v>159</v>
      </c>
    </row>
    <row r="97" spans="1:12" ht="15" customHeight="1">
      <c r="A97" s="230" t="s">
        <v>160</v>
      </c>
      <c r="B97" s="227" t="s">
        <v>162</v>
      </c>
      <c r="C97" s="236"/>
      <c r="D97" s="269">
        <f>resuuc/2</f>
        <v>5.0000000000000001E-4</v>
      </c>
      <c r="E97" s="237"/>
      <c r="F97" s="463" t="s">
        <v>161</v>
      </c>
      <c r="G97" s="464"/>
      <c r="H97" s="238">
        <f t="shared" si="12"/>
        <v>1.7320508075688772</v>
      </c>
      <c r="I97" s="227">
        <v>1</v>
      </c>
      <c r="J97" s="227"/>
      <c r="K97" s="234">
        <f t="shared" si="13"/>
        <v>2.886751345948129E-4</v>
      </c>
      <c r="L97" s="235" t="s">
        <v>159</v>
      </c>
    </row>
    <row r="98" spans="1:12" ht="15" customHeight="1">
      <c r="A98" s="230" t="s">
        <v>163</v>
      </c>
      <c r="B98" s="227" t="s">
        <v>164</v>
      </c>
      <c r="C98" s="236"/>
      <c r="D98" s="268">
        <f>uucrep1</f>
        <v>0</v>
      </c>
      <c r="E98" s="237"/>
      <c r="F98" s="463" t="s">
        <v>158</v>
      </c>
      <c r="G98" s="464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463"/>
      <c r="G99" s="464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463"/>
      <c r="G100" s="464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463"/>
      <c r="G101" s="464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463"/>
      <c r="G102" s="464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463"/>
      <c r="G103" s="464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463"/>
      <c r="G104" s="464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165</v>
      </c>
      <c r="C105" s="243"/>
      <c r="D105" s="244"/>
      <c r="E105" s="244"/>
      <c r="F105" s="473" t="str">
        <f>IF(G106=2,"Normal","T-Distibution")</f>
        <v>T-Distibution</v>
      </c>
      <c r="G105" s="474"/>
      <c r="H105" s="243"/>
      <c r="I105" s="245"/>
      <c r="J105" s="246"/>
      <c r="K105" s="234">
        <f>SQRT(SUMSQ(K96:K104))</f>
        <v>2.968725877094976E-4</v>
      </c>
      <c r="L105" s="247">
        <f>IF(K107="",L97,K107)</f>
        <v>3.3555532800000001</v>
      </c>
    </row>
    <row r="106" spans="1:12" ht="15" customHeight="1">
      <c r="A106" s="248" t="s">
        <v>166</v>
      </c>
      <c r="B106" s="227" t="s">
        <v>167</v>
      </c>
      <c r="C106" s="249"/>
      <c r="D106" s="250"/>
      <c r="E106" s="250"/>
      <c r="F106" s="251" t="s">
        <v>168</v>
      </c>
      <c r="G106" s="252">
        <f>MAX(F107:I107)</f>
        <v>3.31</v>
      </c>
      <c r="H106" s="249"/>
      <c r="I106" s="253"/>
      <c r="J106" s="246"/>
      <c r="K106" s="254">
        <f>ROUNDUP((K105*G106),5)</f>
        <v>9.8999999999999999E-4</v>
      </c>
      <c r="L106" s="247">
        <f>IF(K107="",L97,K107)</f>
        <v>3.3555532800000001</v>
      </c>
    </row>
    <row r="107" spans="1:12" ht="15" customHeight="1">
      <c r="C107" s="255"/>
      <c r="D107" s="255"/>
      <c r="E107" s="256"/>
      <c r="F107" s="257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3.31</v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3.3555532800000001</v>
      </c>
      <c r="L107" s="259"/>
    </row>
    <row r="108" spans="1:12" ht="15" customHeight="1">
      <c r="A108" s="222" t="s">
        <v>145</v>
      </c>
      <c r="B108" s="223" t="s">
        <v>169</v>
      </c>
      <c r="C108" s="222"/>
      <c r="D108" s="222"/>
      <c r="E108" s="222" t="s">
        <v>146</v>
      </c>
      <c r="F108" s="466">
        <f>setm7</f>
        <v>140</v>
      </c>
      <c r="G108" s="466"/>
      <c r="H108" s="224" t="s">
        <v>23</v>
      </c>
      <c r="I108" s="222" t="s">
        <v>147</v>
      </c>
      <c r="J108" s="222">
        <f>rang</f>
        <v>200</v>
      </c>
      <c r="K108" s="261" t="s">
        <v>23</v>
      </c>
      <c r="L108" s="225"/>
    </row>
    <row r="109" spans="1:12" ht="15" customHeight="1">
      <c r="A109" s="457" t="s">
        <v>148</v>
      </c>
      <c r="B109" s="457" t="s">
        <v>149</v>
      </c>
      <c r="C109" s="227" t="s">
        <v>150</v>
      </c>
      <c r="D109" s="467" t="s">
        <v>151</v>
      </c>
      <c r="E109" s="468"/>
      <c r="F109" s="469" t="s">
        <v>152</v>
      </c>
      <c r="G109" s="470"/>
      <c r="H109" s="457" t="s">
        <v>153</v>
      </c>
      <c r="I109" s="459" t="s">
        <v>154</v>
      </c>
      <c r="J109" s="227" t="s">
        <v>150</v>
      </c>
      <c r="K109" s="228" t="s">
        <v>151</v>
      </c>
      <c r="L109" s="457" t="s">
        <v>155</v>
      </c>
    </row>
    <row r="110" spans="1:12" ht="15" customHeight="1">
      <c r="A110" s="458"/>
      <c r="B110" s="458"/>
      <c r="C110" s="229" t="s">
        <v>156</v>
      </c>
      <c r="D110" s="461" t="s">
        <v>171</v>
      </c>
      <c r="E110" s="462"/>
      <c r="F110" s="471"/>
      <c r="G110" s="472"/>
      <c r="H110" s="458"/>
      <c r="I110" s="460"/>
      <c r="J110" s="229" t="s">
        <v>156</v>
      </c>
      <c r="K110" s="229" t="s">
        <v>172</v>
      </c>
      <c r="L110" s="458"/>
    </row>
    <row r="111" spans="1:12" ht="15" customHeight="1">
      <c r="A111" s="230" t="s">
        <v>157</v>
      </c>
      <c r="B111" s="231" t="s">
        <v>2</v>
      </c>
      <c r="C111" s="232"/>
      <c r="D111" s="268">
        <f>setm7*10^-6</f>
        <v>1.3999999999999999E-4</v>
      </c>
      <c r="E111" s="233"/>
      <c r="F111" s="463" t="s">
        <v>161</v>
      </c>
      <c r="G111" s="464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8.0829037686547603E-5</v>
      </c>
      <c r="L111" s="235" t="s">
        <v>159</v>
      </c>
    </row>
    <row r="112" spans="1:12" ht="15" customHeight="1">
      <c r="A112" s="230" t="s">
        <v>160</v>
      </c>
      <c r="B112" s="227" t="s">
        <v>162</v>
      </c>
      <c r="C112" s="236"/>
      <c r="D112" s="269">
        <f>resuuc/2</f>
        <v>5.0000000000000001E-4</v>
      </c>
      <c r="E112" s="237"/>
      <c r="F112" s="463" t="s">
        <v>161</v>
      </c>
      <c r="G112" s="464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2.886751345948129E-4</v>
      </c>
      <c r="L112" s="235" t="s">
        <v>159</v>
      </c>
    </row>
    <row r="113" spans="1:12" ht="15" customHeight="1">
      <c r="A113" s="230" t="s">
        <v>163</v>
      </c>
      <c r="B113" s="227" t="s">
        <v>164</v>
      </c>
      <c r="C113" s="236"/>
      <c r="D113" s="268">
        <f>uucrep1</f>
        <v>0</v>
      </c>
      <c r="E113" s="237"/>
      <c r="F113" s="463" t="s">
        <v>158</v>
      </c>
      <c r="G113" s="464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463"/>
      <c r="G114" s="464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463"/>
      <c r="G115" s="464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463"/>
      <c r="G116" s="464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463"/>
      <c r="G117" s="464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463"/>
      <c r="G118" s="464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463"/>
      <c r="G119" s="464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165</v>
      </c>
      <c r="C120" s="243"/>
      <c r="D120" s="244"/>
      <c r="E120" s="244"/>
      <c r="F120" s="473" t="str">
        <f>IF(G121=2,"Normal","T-Distibution")</f>
        <v>T-Distibution</v>
      </c>
      <c r="G120" s="474"/>
      <c r="H120" s="243"/>
      <c r="I120" s="245"/>
      <c r="J120" s="246"/>
      <c r="K120" s="234">
        <f>SQRT(SUMSQ(K111:K119))</f>
        <v>2.9977769541222822E-4</v>
      </c>
      <c r="L120" s="247">
        <f>IF(K122="",L112,K122)</f>
        <v>3.4888396800000003</v>
      </c>
    </row>
    <row r="121" spans="1:12" ht="15" customHeight="1">
      <c r="A121" s="248" t="s">
        <v>166</v>
      </c>
      <c r="B121" s="227" t="s">
        <v>167</v>
      </c>
      <c r="C121" s="249"/>
      <c r="D121" s="250"/>
      <c r="E121" s="250"/>
      <c r="F121" s="251" t="s">
        <v>168</v>
      </c>
      <c r="G121" s="252">
        <f>MAX(F122:I122)</f>
        <v>3.31</v>
      </c>
      <c r="H121" s="249"/>
      <c r="I121" s="253"/>
      <c r="J121" s="246"/>
      <c r="K121" s="254">
        <f>ROUNDUP((K120*G121),5)</f>
        <v>1E-3</v>
      </c>
      <c r="L121" s="247">
        <f>IF(K122="",L112,K122)</f>
        <v>3.4888396800000003</v>
      </c>
    </row>
    <row r="122" spans="1:12" ht="15" customHeight="1">
      <c r="C122" s="255"/>
      <c r="D122" s="255"/>
      <c r="E122" s="256"/>
      <c r="F122" s="257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3.31</v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 t="str">
        <f>IF(AND(K122&gt;=25,K122&lt;30),2.11, IF(AND(K122&gt;=30,K122&lt;35),2.09, IF(AND(K122&gt;=35,K122&lt;40),2.07, IF(AND(K122&gt;=40,K122&lt;45),2.06, IF(AND(K122&gt;=45,K122&lt;50),2.06,"")))))</f>
        <v/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3.4888396800000003</v>
      </c>
      <c r="L122" s="259"/>
    </row>
    <row r="123" spans="1:12" ht="15" customHeight="1">
      <c r="A123" s="222" t="s">
        <v>145</v>
      </c>
      <c r="B123" s="223" t="s">
        <v>169</v>
      </c>
      <c r="C123" s="222"/>
      <c r="D123" s="222"/>
      <c r="E123" s="222" t="s">
        <v>146</v>
      </c>
      <c r="F123" s="466">
        <f>setm8</f>
        <v>160</v>
      </c>
      <c r="G123" s="466"/>
      <c r="H123" s="224" t="s">
        <v>23</v>
      </c>
      <c r="I123" s="222" t="s">
        <v>147</v>
      </c>
      <c r="J123" s="222">
        <f>rang</f>
        <v>200</v>
      </c>
      <c r="K123" s="261" t="s">
        <v>23</v>
      </c>
      <c r="L123" s="225"/>
    </row>
    <row r="124" spans="1:12" ht="15" customHeight="1">
      <c r="A124" s="457" t="s">
        <v>148</v>
      </c>
      <c r="B124" s="457" t="s">
        <v>149</v>
      </c>
      <c r="C124" s="227" t="s">
        <v>150</v>
      </c>
      <c r="D124" s="467" t="s">
        <v>151</v>
      </c>
      <c r="E124" s="468"/>
      <c r="F124" s="469" t="s">
        <v>152</v>
      </c>
      <c r="G124" s="470"/>
      <c r="H124" s="457" t="s">
        <v>153</v>
      </c>
      <c r="I124" s="459" t="s">
        <v>154</v>
      </c>
      <c r="J124" s="227" t="s">
        <v>150</v>
      </c>
      <c r="K124" s="228" t="s">
        <v>151</v>
      </c>
      <c r="L124" s="457" t="s">
        <v>155</v>
      </c>
    </row>
    <row r="125" spans="1:12" ht="15" customHeight="1">
      <c r="A125" s="458"/>
      <c r="B125" s="458"/>
      <c r="C125" s="229" t="s">
        <v>156</v>
      </c>
      <c r="D125" s="461" t="s">
        <v>171</v>
      </c>
      <c r="E125" s="462"/>
      <c r="F125" s="471"/>
      <c r="G125" s="472"/>
      <c r="H125" s="458"/>
      <c r="I125" s="460"/>
      <c r="J125" s="229" t="s">
        <v>156</v>
      </c>
      <c r="K125" s="229" t="s">
        <v>172</v>
      </c>
      <c r="L125" s="458"/>
    </row>
    <row r="126" spans="1:12" ht="15" customHeight="1">
      <c r="A126" s="230" t="s">
        <v>157</v>
      </c>
      <c r="B126" s="231" t="s">
        <v>2</v>
      </c>
      <c r="C126" s="232"/>
      <c r="D126" s="268">
        <f>setm8*10^-6</f>
        <v>1.5999999999999999E-4</v>
      </c>
      <c r="E126" s="233"/>
      <c r="F126" s="463" t="s">
        <v>161</v>
      </c>
      <c r="G126" s="464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9.2376043070340125E-5</v>
      </c>
      <c r="L126" s="235" t="s">
        <v>159</v>
      </c>
    </row>
    <row r="127" spans="1:12" ht="15" customHeight="1">
      <c r="A127" s="230" t="s">
        <v>160</v>
      </c>
      <c r="B127" s="227" t="s">
        <v>162</v>
      </c>
      <c r="C127" s="236"/>
      <c r="D127" s="269">
        <f>resuuc/2</f>
        <v>5.0000000000000001E-4</v>
      </c>
      <c r="E127" s="237"/>
      <c r="F127" s="463" t="s">
        <v>161</v>
      </c>
      <c r="G127" s="464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2.886751345948129E-4</v>
      </c>
      <c r="L127" s="235" t="s">
        <v>159</v>
      </c>
    </row>
    <row r="128" spans="1:12" ht="15" customHeight="1">
      <c r="A128" s="230" t="s">
        <v>163</v>
      </c>
      <c r="B128" s="227" t="s">
        <v>164</v>
      </c>
      <c r="C128" s="236"/>
      <c r="D128" s="268">
        <f>uucrep1</f>
        <v>0</v>
      </c>
      <c r="E128" s="237"/>
      <c r="F128" s="463" t="s">
        <v>158</v>
      </c>
      <c r="G128" s="464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463"/>
      <c r="G129" s="464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463"/>
      <c r="G130" s="464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463"/>
      <c r="G131" s="464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463"/>
      <c r="G132" s="464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463"/>
      <c r="G133" s="464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463"/>
      <c r="G134" s="464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165</v>
      </c>
      <c r="C135" s="243"/>
      <c r="D135" s="244"/>
      <c r="E135" s="244"/>
      <c r="F135" s="473" t="str">
        <f>IF(G136=2,"Normal","T-Distibution")</f>
        <v>T-Distibution</v>
      </c>
      <c r="G135" s="474"/>
      <c r="H135" s="243"/>
      <c r="I135" s="245"/>
      <c r="J135" s="246"/>
      <c r="K135" s="234">
        <f>SQRT(SUMSQ(K126:K134))</f>
        <v>3.0309514457784814E-4</v>
      </c>
      <c r="L135" s="247">
        <f>IF(K137="",L127,K137)</f>
        <v>3.6458572799999995</v>
      </c>
    </row>
    <row r="136" spans="1:12" ht="15" customHeight="1">
      <c r="A136" s="248" t="s">
        <v>166</v>
      </c>
      <c r="B136" s="227" t="s">
        <v>167</v>
      </c>
      <c r="C136" s="249"/>
      <c r="D136" s="250"/>
      <c r="E136" s="250"/>
      <c r="F136" s="251" t="s">
        <v>168</v>
      </c>
      <c r="G136" s="252">
        <f>MAX(F137:I137)</f>
        <v>3.31</v>
      </c>
      <c r="H136" s="249"/>
      <c r="I136" s="253"/>
      <c r="J136" s="246"/>
      <c r="K136" s="254">
        <f>ROUNDUP((K135*G136),5)</f>
        <v>1.01E-3</v>
      </c>
      <c r="L136" s="247">
        <f>IF(K137="",L127,K137)</f>
        <v>3.6458572799999995</v>
      </c>
    </row>
    <row r="137" spans="1:12" ht="15" customHeight="1">
      <c r="C137" s="255"/>
      <c r="D137" s="255"/>
      <c r="E137" s="256"/>
      <c r="F137" s="257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3.31</v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 t="str">
        <f>IF(AND(K137&gt;=50,K137&lt;60),2.05, IF(AND(K137&gt;=60,K137&lt;80),2.04, IF(AND(K137&gt;=80,K137&lt;100),2.03, IF(K137=100,2.02,IF(K137&gt;100,2," ")))))</f>
        <v xml:space="preserve"> </v>
      </c>
      <c r="J137" s="258"/>
      <c r="K137" s="258">
        <f>IF(K127*2&gt;=K135,(K135^4*3)/K127^4,"")</f>
        <v>3.6458572799999995</v>
      </c>
      <c r="L137" s="259"/>
    </row>
    <row r="138" spans="1:12" ht="15" customHeight="1">
      <c r="A138" s="222" t="s">
        <v>145</v>
      </c>
      <c r="B138" s="223" t="s">
        <v>169</v>
      </c>
      <c r="C138" s="222"/>
      <c r="D138" s="222"/>
      <c r="E138" s="222" t="s">
        <v>146</v>
      </c>
      <c r="F138" s="466">
        <f>setm9</f>
        <v>180</v>
      </c>
      <c r="G138" s="466"/>
      <c r="H138" s="224" t="s">
        <v>23</v>
      </c>
      <c r="I138" s="222" t="s">
        <v>147</v>
      </c>
      <c r="J138" s="222">
        <f>rang</f>
        <v>200</v>
      </c>
      <c r="K138" s="261" t="s">
        <v>23</v>
      </c>
      <c r="L138" s="225"/>
    </row>
    <row r="139" spans="1:12" ht="15" customHeight="1">
      <c r="A139" s="457" t="s">
        <v>148</v>
      </c>
      <c r="B139" s="457" t="s">
        <v>149</v>
      </c>
      <c r="C139" s="227" t="s">
        <v>150</v>
      </c>
      <c r="D139" s="467" t="s">
        <v>151</v>
      </c>
      <c r="E139" s="468"/>
      <c r="F139" s="469" t="s">
        <v>152</v>
      </c>
      <c r="G139" s="470"/>
      <c r="H139" s="457" t="s">
        <v>153</v>
      </c>
      <c r="I139" s="459" t="s">
        <v>154</v>
      </c>
      <c r="J139" s="227" t="s">
        <v>150</v>
      </c>
      <c r="K139" s="228" t="s">
        <v>151</v>
      </c>
      <c r="L139" s="457" t="s">
        <v>155</v>
      </c>
    </row>
    <row r="140" spans="1:12" ht="15" customHeight="1">
      <c r="A140" s="458"/>
      <c r="B140" s="458"/>
      <c r="C140" s="229" t="s">
        <v>156</v>
      </c>
      <c r="D140" s="461" t="s">
        <v>171</v>
      </c>
      <c r="E140" s="462"/>
      <c r="F140" s="471"/>
      <c r="G140" s="472"/>
      <c r="H140" s="458"/>
      <c r="I140" s="460"/>
      <c r="J140" s="229" t="s">
        <v>156</v>
      </c>
      <c r="K140" s="229" t="s">
        <v>172</v>
      </c>
      <c r="L140" s="458"/>
    </row>
    <row r="141" spans="1:12" ht="15" customHeight="1">
      <c r="A141" s="230" t="s">
        <v>157</v>
      </c>
      <c r="B141" s="231" t="s">
        <v>2</v>
      </c>
      <c r="C141" s="232"/>
      <c r="D141" s="268">
        <f>setm9*10^-6</f>
        <v>1.7999999999999998E-4</v>
      </c>
      <c r="E141" s="233"/>
      <c r="F141" s="463" t="s">
        <v>161</v>
      </c>
      <c r="G141" s="464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1.0392304845413263E-4</v>
      </c>
      <c r="L141" s="235" t="s">
        <v>159</v>
      </c>
    </row>
    <row r="142" spans="1:12" ht="15" customHeight="1">
      <c r="A142" s="230" t="s">
        <v>160</v>
      </c>
      <c r="B142" s="227" t="s">
        <v>162</v>
      </c>
      <c r="C142" s="236"/>
      <c r="D142" s="269">
        <f>resuuc/2</f>
        <v>5.0000000000000001E-4</v>
      </c>
      <c r="E142" s="237"/>
      <c r="F142" s="463" t="s">
        <v>161</v>
      </c>
      <c r="G142" s="464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2.886751345948129E-4</v>
      </c>
      <c r="L142" s="235" t="s">
        <v>159</v>
      </c>
    </row>
    <row r="143" spans="1:12" ht="15" customHeight="1">
      <c r="A143" s="230" t="s">
        <v>163</v>
      </c>
      <c r="B143" s="227" t="s">
        <v>164</v>
      </c>
      <c r="C143" s="236"/>
      <c r="D143" s="268">
        <f>uucrep1</f>
        <v>0</v>
      </c>
      <c r="E143" s="237"/>
      <c r="F143" s="463" t="s">
        <v>158</v>
      </c>
      <c r="G143" s="464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463"/>
      <c r="G144" s="464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463"/>
      <c r="G145" s="464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463"/>
      <c r="G146" s="464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463"/>
      <c r="G147" s="464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463"/>
      <c r="G148" s="464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463"/>
      <c r="G149" s="464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165</v>
      </c>
      <c r="C150" s="243"/>
      <c r="D150" s="244"/>
      <c r="E150" s="244"/>
      <c r="F150" s="473" t="str">
        <f>IF(G151=2,"Normal","T-Distibution")</f>
        <v>T-Distibution</v>
      </c>
      <c r="G150" s="474"/>
      <c r="H150" s="243"/>
      <c r="I150" s="245"/>
      <c r="J150" s="246"/>
      <c r="K150" s="234">
        <f>SQRT(SUMSQ(K141:K149))</f>
        <v>3.0681155997343604E-4</v>
      </c>
      <c r="L150" s="247">
        <f>IF(K152="",L142,K152)</f>
        <v>3.8279884800000001</v>
      </c>
    </row>
    <row r="151" spans="1:12" ht="15" customHeight="1">
      <c r="A151" s="248" t="s">
        <v>166</v>
      </c>
      <c r="B151" s="227" t="s">
        <v>167</v>
      </c>
      <c r="C151" s="249"/>
      <c r="D151" s="250"/>
      <c r="E151" s="250"/>
      <c r="F151" s="251" t="s">
        <v>168</v>
      </c>
      <c r="G151" s="252">
        <f>MAX(F152:I152)</f>
        <v>3.31</v>
      </c>
      <c r="H151" s="249"/>
      <c r="I151" s="253"/>
      <c r="J151" s="246"/>
      <c r="K151" s="254">
        <f>ROUNDUP((K150*G151),5)</f>
        <v>1.0200000000000001E-3</v>
      </c>
      <c r="L151" s="247">
        <f>IF(K152="",L142,K152)</f>
        <v>3.8279884800000001</v>
      </c>
    </row>
    <row r="152" spans="1:12" ht="15" customHeight="1">
      <c r="C152" s="255"/>
      <c r="D152" s="255"/>
      <c r="E152" s="256"/>
      <c r="F152" s="257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3.31</v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 t="str">
        <f>IF(AND(K152&gt;=50,K152&lt;60),2.05, IF(AND(K152&gt;=60,K152&lt;80),2.04, IF(AND(K152&gt;=80,K152&lt;100),2.03, IF(K152=100,2.02,IF(K152&gt;100,2," ")))))</f>
        <v xml:space="preserve"> </v>
      </c>
      <c r="J152" s="258"/>
      <c r="K152" s="258">
        <f>IF(K142*2&gt;=K150,(K150^4*3)/K142^4,"")</f>
        <v>3.8279884800000001</v>
      </c>
      <c r="L152" s="259"/>
    </row>
    <row r="153" spans="1:12" ht="15" customHeight="1">
      <c r="A153" s="222" t="s">
        <v>145</v>
      </c>
      <c r="B153" s="223" t="s">
        <v>169</v>
      </c>
      <c r="C153" s="222"/>
      <c r="D153" s="222"/>
      <c r="E153" s="222" t="s">
        <v>146</v>
      </c>
      <c r="F153" s="466">
        <f>setm10</f>
        <v>200</v>
      </c>
      <c r="G153" s="466"/>
      <c r="H153" s="224" t="s">
        <v>23</v>
      </c>
      <c r="I153" s="222" t="s">
        <v>147</v>
      </c>
      <c r="J153" s="222">
        <f>rang</f>
        <v>200</v>
      </c>
      <c r="K153" s="261" t="s">
        <v>23</v>
      </c>
      <c r="L153" s="225"/>
    </row>
    <row r="154" spans="1:12" ht="15" customHeight="1">
      <c r="A154" s="457" t="s">
        <v>148</v>
      </c>
      <c r="B154" s="457" t="s">
        <v>149</v>
      </c>
      <c r="C154" s="227" t="s">
        <v>150</v>
      </c>
      <c r="D154" s="467" t="s">
        <v>151</v>
      </c>
      <c r="E154" s="468"/>
      <c r="F154" s="469" t="s">
        <v>152</v>
      </c>
      <c r="G154" s="470"/>
      <c r="H154" s="457" t="s">
        <v>153</v>
      </c>
      <c r="I154" s="459" t="s">
        <v>154</v>
      </c>
      <c r="J154" s="227" t="s">
        <v>150</v>
      </c>
      <c r="K154" s="228" t="s">
        <v>151</v>
      </c>
      <c r="L154" s="457" t="s">
        <v>155</v>
      </c>
    </row>
    <row r="155" spans="1:12" ht="15" customHeight="1">
      <c r="A155" s="458"/>
      <c r="B155" s="458"/>
      <c r="C155" s="229" t="s">
        <v>156</v>
      </c>
      <c r="D155" s="461" t="s">
        <v>171</v>
      </c>
      <c r="E155" s="462"/>
      <c r="F155" s="471"/>
      <c r="G155" s="472"/>
      <c r="H155" s="458"/>
      <c r="I155" s="460"/>
      <c r="J155" s="229" t="s">
        <v>156</v>
      </c>
      <c r="K155" s="229" t="s">
        <v>172</v>
      </c>
      <c r="L155" s="458"/>
    </row>
    <row r="156" spans="1:12" ht="15" customHeight="1">
      <c r="A156" s="230" t="s">
        <v>157</v>
      </c>
      <c r="B156" s="231" t="s">
        <v>2</v>
      </c>
      <c r="C156" s="232"/>
      <c r="D156" s="268">
        <f>setm10*10^-6</f>
        <v>1.9999999999999998E-4</v>
      </c>
      <c r="E156" s="233"/>
      <c r="F156" s="463" t="s">
        <v>161</v>
      </c>
      <c r="G156" s="464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1.1547005383792514E-4</v>
      </c>
      <c r="L156" s="235" t="s">
        <v>159</v>
      </c>
    </row>
    <row r="157" spans="1:12" ht="15" customHeight="1">
      <c r="A157" s="230" t="s">
        <v>160</v>
      </c>
      <c r="B157" s="227" t="s">
        <v>162</v>
      </c>
      <c r="C157" s="236"/>
      <c r="D157" s="269">
        <f>resuuc/2</f>
        <v>5.0000000000000001E-4</v>
      </c>
      <c r="E157" s="237"/>
      <c r="F157" s="463" t="s">
        <v>161</v>
      </c>
      <c r="G157" s="464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2.886751345948129E-4</v>
      </c>
      <c r="L157" s="235" t="s">
        <v>159</v>
      </c>
    </row>
    <row r="158" spans="1:12" ht="15" customHeight="1">
      <c r="A158" s="230" t="s">
        <v>163</v>
      </c>
      <c r="B158" s="227" t="s">
        <v>164</v>
      </c>
      <c r="C158" s="236"/>
      <c r="D158" s="268">
        <f>uucrep1</f>
        <v>0</v>
      </c>
      <c r="E158" s="237"/>
      <c r="F158" s="463" t="s">
        <v>158</v>
      </c>
      <c r="G158" s="464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463"/>
      <c r="G159" s="464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463"/>
      <c r="G160" s="464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463"/>
      <c r="G161" s="464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463"/>
      <c r="G162" s="464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463"/>
      <c r="G163" s="464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463"/>
      <c r="G164" s="464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165</v>
      </c>
      <c r="C165" s="243"/>
      <c r="D165" s="244"/>
      <c r="E165" s="244"/>
      <c r="F165" s="473" t="str">
        <f>IF(G166=2,"Normal","T-Distibution")</f>
        <v>T-Distibution</v>
      </c>
      <c r="G165" s="474"/>
      <c r="H165" s="243"/>
      <c r="I165" s="245"/>
      <c r="J165" s="246"/>
      <c r="K165" s="234">
        <f>SQRT(SUMSQ(K156:K164))</f>
        <v>3.109126351029605E-4</v>
      </c>
      <c r="L165" s="247">
        <f>IF(K167="",L157,K167)</f>
        <v>4.0367999999999995</v>
      </c>
    </row>
    <row r="166" spans="1:12" ht="15" customHeight="1">
      <c r="A166" s="248" t="s">
        <v>166</v>
      </c>
      <c r="B166" s="227" t="s">
        <v>167</v>
      </c>
      <c r="C166" s="249"/>
      <c r="D166" s="250"/>
      <c r="E166" s="250"/>
      <c r="F166" s="251" t="s">
        <v>168</v>
      </c>
      <c r="G166" s="252">
        <f>MAX(F167:I167)</f>
        <v>2.87</v>
      </c>
      <c r="H166" s="249"/>
      <c r="I166" s="253"/>
      <c r="J166" s="246"/>
      <c r="K166" s="254">
        <f>ROUNDUP((K165*G166),5)</f>
        <v>8.9999999999999998E-4</v>
      </c>
      <c r="L166" s="247">
        <f>IF(K167="",L157,K167)</f>
        <v>4.0367999999999995</v>
      </c>
    </row>
    <row r="167" spans="1:12" ht="15" customHeight="1">
      <c r="C167" s="255"/>
      <c r="D167" s="255"/>
      <c r="E167" s="256"/>
      <c r="F167" s="257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>2.87</v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 t="str">
        <f>IF(AND(K167&gt;=50,K167&lt;60),2.05, IF(AND(K167&gt;=60,K167&lt;80),2.04, IF(AND(K167&gt;=80,K167&lt;100),2.03, IF(K167=100,2.02,IF(K167&gt;100,2," ")))))</f>
        <v xml:space="preserve"> </v>
      </c>
      <c r="J167" s="258"/>
      <c r="K167" s="258">
        <f>IF(K157*2&gt;=K165,(K165^4*3)/K157^4,"")</f>
        <v>4.0367999999999995</v>
      </c>
      <c r="L167" s="259"/>
    </row>
  </sheetData>
  <mergeCells count="210"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478" t="s">
        <v>12</v>
      </c>
      <c r="C5" s="479"/>
      <c r="D5" s="479"/>
      <c r="E5" s="480"/>
      <c r="G5" s="478" t="s">
        <v>13</v>
      </c>
      <c r="H5" s="479"/>
      <c r="I5" s="479"/>
      <c r="J5" s="480"/>
      <c r="L5" s="478" t="s">
        <v>14</v>
      </c>
      <c r="M5" s="479"/>
      <c r="N5" s="479"/>
      <c r="O5" s="480"/>
      <c r="Q5" s="478" t="s">
        <v>15</v>
      </c>
      <c r="R5" s="479"/>
      <c r="S5" s="479"/>
      <c r="T5" s="479"/>
      <c r="U5" s="480"/>
    </row>
    <row r="6" spans="2:22" ht="26.25">
      <c r="B6" s="475" t="s">
        <v>16</v>
      </c>
      <c r="C6" s="476"/>
      <c r="D6" s="476"/>
      <c r="E6" s="477"/>
      <c r="G6" s="475" t="s">
        <v>17</v>
      </c>
      <c r="H6" s="476"/>
      <c r="I6" s="476"/>
      <c r="J6" s="477"/>
      <c r="L6" s="475" t="s">
        <v>18</v>
      </c>
      <c r="M6" s="476"/>
      <c r="N6" s="476"/>
      <c r="O6" s="477"/>
      <c r="Q6" s="475" t="s">
        <v>19</v>
      </c>
      <c r="R6" s="476"/>
      <c r="S6" s="476"/>
      <c r="T6" s="476"/>
      <c r="U6" s="477"/>
    </row>
    <row r="7" spans="2:22" ht="26.25">
      <c r="B7" s="481" t="s">
        <v>20</v>
      </c>
      <c r="C7" s="482"/>
      <c r="D7" s="482"/>
      <c r="E7" s="483"/>
      <c r="G7" s="481" t="s">
        <v>20</v>
      </c>
      <c r="H7" s="482"/>
      <c r="I7" s="482"/>
      <c r="J7" s="483"/>
      <c r="L7" s="481" t="s">
        <v>20</v>
      </c>
      <c r="M7" s="482"/>
      <c r="N7" s="482"/>
      <c r="O7" s="483"/>
      <c r="Q7" s="7" t="s">
        <v>21</v>
      </c>
      <c r="R7" s="481" t="s">
        <v>20</v>
      </c>
      <c r="S7" s="482"/>
      <c r="T7" s="482"/>
      <c r="U7" s="483"/>
    </row>
    <row r="8" spans="2:22" ht="26.25">
      <c r="B8" s="484">
        <v>42550</v>
      </c>
      <c r="C8" s="485"/>
      <c r="D8" s="485"/>
      <c r="E8" s="486"/>
      <c r="G8" s="484">
        <v>42550</v>
      </c>
      <c r="H8" s="485"/>
      <c r="I8" s="485"/>
      <c r="J8" s="486"/>
      <c r="L8" s="484">
        <v>42601</v>
      </c>
      <c r="M8" s="485"/>
      <c r="N8" s="485"/>
      <c r="O8" s="486"/>
      <c r="Q8" s="8"/>
      <c r="R8" s="484">
        <v>42706</v>
      </c>
      <c r="S8" s="485"/>
      <c r="T8" s="485"/>
      <c r="U8" s="486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2017-03-15T13:13:24Z</cp:lastPrinted>
  <dcterms:created xsi:type="dcterms:W3CDTF">2015-10-01T03:03:03Z</dcterms:created>
  <dcterms:modified xsi:type="dcterms:W3CDTF">2017-11-05T15:35:35Z</dcterms:modified>
</cp:coreProperties>
</file>