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"/>
    </mc:Choice>
  </mc:AlternateContent>
  <bookViews>
    <workbookView xWindow="-15" yWindow="5985" windowWidth="9720" windowHeight="6015" activeTab="4"/>
  </bookViews>
  <sheets>
    <sheet name="Data " sheetId="26" r:id="rId1"/>
    <sheet name="Certificate" sheetId="27" r:id="rId2"/>
    <sheet name="Report" sheetId="24" r:id="rId3"/>
    <sheet name="Result" sheetId="25" r:id="rId4"/>
    <sheet name="Uncertainty Budget" sheetId="28" r:id="rId5"/>
    <sheet name="Cert of STD" sheetId="2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'Data '!$A$1:$AE$35</definedName>
    <definedName name="_xlnm.Print_Area" localSheetId="2">Report!$A$1:$V$20</definedName>
    <definedName name="_xlnm.Print_Area" localSheetId="3">Result!$A$1:$Y$30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N18" i="28" l="1"/>
  <c r="N19" i="28"/>
  <c r="N20" i="28"/>
  <c r="N21" i="28"/>
  <c r="N17" i="28"/>
  <c r="N8" i="28"/>
  <c r="N9" i="28"/>
  <c r="N10" i="28"/>
  <c r="N11" i="28"/>
  <c r="N7" i="28"/>
  <c r="M18" i="28"/>
  <c r="M19" i="28"/>
  <c r="M20" i="28"/>
  <c r="M21" i="28"/>
  <c r="M17" i="28"/>
  <c r="M8" i="28"/>
  <c r="M9" i="28"/>
  <c r="M10" i="28"/>
  <c r="M11" i="28"/>
  <c r="M7" i="28"/>
  <c r="K18" i="28" l="1"/>
  <c r="K19" i="28"/>
  <c r="K20" i="28"/>
  <c r="K21" i="28"/>
  <c r="K17" i="28"/>
  <c r="K8" i="28"/>
  <c r="K9" i="28"/>
  <c r="K10" i="28"/>
  <c r="K11" i="28"/>
  <c r="K7" i="28"/>
  <c r="AB29" i="26"/>
  <c r="AB30" i="26"/>
  <c r="AB31" i="26"/>
  <c r="AB32" i="26"/>
  <c r="AB28" i="26"/>
  <c r="AB20" i="26"/>
  <c r="AB21" i="26"/>
  <c r="AB22" i="26"/>
  <c r="AB23" i="26"/>
  <c r="AB19" i="26"/>
  <c r="T29" i="26"/>
  <c r="T30" i="26"/>
  <c r="T31" i="26"/>
  <c r="T32" i="26"/>
  <c r="T28" i="26"/>
  <c r="T20" i="26"/>
  <c r="T21" i="26"/>
  <c r="T22" i="26"/>
  <c r="T23" i="26"/>
  <c r="T19" i="26"/>
  <c r="J8" i="27" l="1"/>
  <c r="A14" i="26" l="1"/>
  <c r="I7" i="28" l="1"/>
  <c r="G21" i="28"/>
  <c r="H21" i="28" s="1"/>
  <c r="E21" i="28"/>
  <c r="F21" i="28" s="1"/>
  <c r="G20" i="28"/>
  <c r="H20" i="28" s="1"/>
  <c r="E20" i="28"/>
  <c r="F20" i="28" s="1"/>
  <c r="G19" i="28"/>
  <c r="H19" i="28" s="1"/>
  <c r="E19" i="28"/>
  <c r="F19" i="28" s="1"/>
  <c r="G18" i="28"/>
  <c r="H18" i="28" s="1"/>
  <c r="E18" i="28"/>
  <c r="F18" i="28" s="1"/>
  <c r="G17" i="28"/>
  <c r="H17" i="28" s="1"/>
  <c r="E17" i="28"/>
  <c r="F17" i="28" s="1"/>
  <c r="G11" i="28"/>
  <c r="H11" i="28" s="1"/>
  <c r="E11" i="28"/>
  <c r="F11" i="28" s="1"/>
  <c r="G10" i="28"/>
  <c r="H10" i="28" s="1"/>
  <c r="E10" i="28"/>
  <c r="F10" i="28" s="1"/>
  <c r="G9" i="28"/>
  <c r="H9" i="28" s="1"/>
  <c r="E9" i="28"/>
  <c r="F9" i="28" s="1"/>
  <c r="G8" i="28"/>
  <c r="H8" i="28" s="1"/>
  <c r="E8" i="28"/>
  <c r="F8" i="28" s="1"/>
  <c r="G7" i="28"/>
  <c r="H7" i="28" s="1"/>
  <c r="E7" i="28"/>
  <c r="F7" i="28" s="1"/>
  <c r="J7" i="28" l="1"/>
  <c r="I8" i="28"/>
  <c r="I9" i="28" l="1"/>
  <c r="J8" i="28"/>
  <c r="J7" i="27"/>
  <c r="I10" i="28" l="1"/>
  <c r="J9" i="28"/>
  <c r="C8" i="28"/>
  <c r="D8" i="28" s="1"/>
  <c r="C9" i="28"/>
  <c r="D9" i="28" s="1"/>
  <c r="C10" i="28"/>
  <c r="D10" i="28" s="1"/>
  <c r="C11" i="28"/>
  <c r="D11" i="28" s="1"/>
  <c r="R9" i="26"/>
  <c r="I11" i="28" l="1"/>
  <c r="J10" i="28"/>
  <c r="L11" i="28"/>
  <c r="L9" i="28"/>
  <c r="L10" i="28"/>
  <c r="L8" i="28"/>
  <c r="H36" i="27"/>
  <c r="AA20" i="27"/>
  <c r="AA21" i="27" s="1"/>
  <c r="AA19" i="27"/>
  <c r="J16" i="27"/>
  <c r="J15" i="27"/>
  <c r="J14" i="27"/>
  <c r="J13" i="27"/>
  <c r="J12" i="27"/>
  <c r="J5" i="27"/>
  <c r="H5" i="24" s="1"/>
  <c r="O9" i="28" l="1"/>
  <c r="R13" i="25" s="1"/>
  <c r="I17" i="28"/>
  <c r="J11" i="28"/>
  <c r="O11" i="28" s="1"/>
  <c r="R15" i="25" s="1"/>
  <c r="O10" i="28"/>
  <c r="R14" i="25" s="1"/>
  <c r="O8" i="28"/>
  <c r="R12" i="25" s="1"/>
  <c r="AA22" i="27"/>
  <c r="I18" i="28" l="1"/>
  <c r="J17" i="28"/>
  <c r="H5" i="25"/>
  <c r="J18" i="28" l="1"/>
  <c r="I19" i="28"/>
  <c r="C17" i="25"/>
  <c r="U8" i="25"/>
  <c r="U17" i="25" s="1"/>
  <c r="C8" i="25"/>
  <c r="I20" i="28" l="1"/>
  <c r="J19" i="28"/>
  <c r="C7" i="28"/>
  <c r="D7" i="28" s="1"/>
  <c r="C21" i="28"/>
  <c r="D21" i="28" s="1"/>
  <c r="C20" i="28"/>
  <c r="D20" i="28" s="1"/>
  <c r="C19" i="28"/>
  <c r="D19" i="28" s="1"/>
  <c r="C18" i="28"/>
  <c r="D18" i="28" s="1"/>
  <c r="C17" i="28"/>
  <c r="D17" i="28" s="1"/>
  <c r="A19" i="26"/>
  <c r="A28" i="26" s="1"/>
  <c r="L45" i="26"/>
  <c r="A23" i="26"/>
  <c r="A22" i="26"/>
  <c r="A21" i="26"/>
  <c r="A20" i="26"/>
  <c r="B8" i="28" l="1"/>
  <c r="A29" i="26"/>
  <c r="X29" i="26" s="1"/>
  <c r="B10" i="28"/>
  <c r="A31" i="26"/>
  <c r="I21" i="28"/>
  <c r="J21" i="28" s="1"/>
  <c r="J20" i="28"/>
  <c r="B9" i="28"/>
  <c r="A30" i="26"/>
  <c r="B11" i="28"/>
  <c r="A32" i="26"/>
  <c r="B21" i="28" s="1"/>
  <c r="L17" i="28"/>
  <c r="L18" i="28"/>
  <c r="L19" i="28"/>
  <c r="L20" i="28"/>
  <c r="L21" i="28"/>
  <c r="F24" i="25"/>
  <c r="F11" i="25"/>
  <c r="B7" i="28"/>
  <c r="L7" i="28"/>
  <c r="F13" i="25"/>
  <c r="X21" i="26"/>
  <c r="F15" i="25"/>
  <c r="X23" i="26"/>
  <c r="F12" i="25"/>
  <c r="X20" i="26"/>
  <c r="F14" i="25"/>
  <c r="X22" i="26"/>
  <c r="A45" i="26"/>
  <c r="J24" i="25"/>
  <c r="N24" i="25" s="1"/>
  <c r="J23" i="25"/>
  <c r="J22" i="25"/>
  <c r="J21" i="25"/>
  <c r="X28" i="26"/>
  <c r="J20" i="25"/>
  <c r="AC52" i="26"/>
  <c r="Z52" i="26"/>
  <c r="W52" i="26"/>
  <c r="T52" i="26"/>
  <c r="Q52" i="26"/>
  <c r="O52" i="26"/>
  <c r="L52" i="26"/>
  <c r="J52" i="26"/>
  <c r="A52" i="26"/>
  <c r="AC51" i="26"/>
  <c r="Z51" i="26"/>
  <c r="W51" i="26"/>
  <c r="T51" i="26"/>
  <c r="Q51" i="26"/>
  <c r="O51" i="26"/>
  <c r="L51" i="26"/>
  <c r="J51" i="26"/>
  <c r="A51" i="26"/>
  <c r="AC50" i="26"/>
  <c r="Z50" i="26"/>
  <c r="W50" i="26"/>
  <c r="T50" i="26"/>
  <c r="Q50" i="26"/>
  <c r="O50" i="26"/>
  <c r="L50" i="26"/>
  <c r="J50" i="26"/>
  <c r="A50" i="26"/>
  <c r="AC49" i="26"/>
  <c r="Z49" i="26"/>
  <c r="W49" i="26"/>
  <c r="T49" i="26"/>
  <c r="Q49" i="26"/>
  <c r="O49" i="26"/>
  <c r="L49" i="26"/>
  <c r="J49" i="26"/>
  <c r="A49" i="26"/>
  <c r="AC48" i="26"/>
  <c r="Z48" i="26"/>
  <c r="W48" i="26"/>
  <c r="T48" i="26"/>
  <c r="Q48" i="26"/>
  <c r="O48" i="26"/>
  <c r="L48" i="26"/>
  <c r="J48" i="26"/>
  <c r="A48" i="26"/>
  <c r="AC47" i="26"/>
  <c r="Z47" i="26"/>
  <c r="W47" i="26"/>
  <c r="T47" i="26"/>
  <c r="Q47" i="26"/>
  <c r="O47" i="26"/>
  <c r="L47" i="26"/>
  <c r="J47" i="26"/>
  <c r="A47" i="26"/>
  <c r="AC46" i="26"/>
  <c r="Z46" i="26"/>
  <c r="W46" i="26"/>
  <c r="T46" i="26"/>
  <c r="Q46" i="26"/>
  <c r="O46" i="26"/>
  <c r="L46" i="26"/>
  <c r="J46" i="26"/>
  <c r="A46" i="26"/>
  <c r="AC45" i="26"/>
  <c r="Z45" i="26"/>
  <c r="W45" i="26"/>
  <c r="T45" i="26"/>
  <c r="Q45" i="26"/>
  <c r="O45" i="26"/>
  <c r="J45" i="26"/>
  <c r="X32" i="26" l="1"/>
  <c r="O7" i="28"/>
  <c r="R11" i="25" s="1"/>
  <c r="O21" i="28"/>
  <c r="R24" i="25" s="1"/>
  <c r="O20" i="28"/>
  <c r="R23" i="25" s="1"/>
  <c r="O19" i="28"/>
  <c r="R22" i="25" s="1"/>
  <c r="O18" i="28"/>
  <c r="R21" i="25" s="1"/>
  <c r="O17" i="28"/>
  <c r="R20" i="25" s="1"/>
  <c r="F21" i="25"/>
  <c r="N21" i="25" s="1"/>
  <c r="B18" i="28"/>
  <c r="F20" i="25"/>
  <c r="N20" i="25" s="1"/>
  <c r="B17" i="28"/>
  <c r="F23" i="25"/>
  <c r="N23" i="25" s="1"/>
  <c r="B20" i="28"/>
  <c r="F22" i="25"/>
  <c r="N22" i="25" s="1"/>
  <c r="B19" i="28"/>
  <c r="X30" i="26"/>
  <c r="X31" i="26"/>
  <c r="J15" i="25"/>
  <c r="N15" i="25" s="1"/>
  <c r="J14" i="25"/>
  <c r="N14" i="25" s="1"/>
  <c r="J12" i="25"/>
  <c r="N12" i="25" s="1"/>
  <c r="J11" i="25"/>
  <c r="N11" i="25" s="1"/>
  <c r="J13" i="25" l="1"/>
  <c r="N13" i="25" s="1"/>
  <c r="X19" i="26"/>
  <c r="Q15" i="21" l="1"/>
  <c r="K15" i="21"/>
  <c r="E15" i="21"/>
  <c r="Q14" i="21"/>
  <c r="K14" i="21"/>
  <c r="E14" i="21"/>
  <c r="Q13" i="21"/>
  <c r="K13" i="21"/>
  <c r="E13" i="21"/>
  <c r="Q12" i="21"/>
  <c r="K12" i="21"/>
  <c r="E12" i="21"/>
  <c r="Q11" i="21"/>
  <c r="K11" i="21"/>
  <c r="E11" i="21"/>
  <c r="Q10" i="21"/>
  <c r="K10" i="21"/>
  <c r="E10" i="21"/>
  <c r="Q9" i="21"/>
  <c r="K9" i="21"/>
  <c r="E9" i="21"/>
  <c r="Q8" i="21"/>
  <c r="K8" i="21"/>
  <c r="E8" i="21"/>
  <c r="Q7" i="21"/>
  <c r="K7" i="21"/>
  <c r="E7" i="21"/>
  <c r="Q6" i="21"/>
  <c r="K6" i="21"/>
  <c r="E6" i="2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Certificate of Calubration
Static Torque Transducer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>Certificate of Calubration
Static Torque Transducer</t>
        </r>
      </text>
    </comment>
    <comment ref="D1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1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1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1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 xml:space="preserve">0 - 1 N.m
</t>
        </r>
      </text>
    </comment>
    <comment ref="H3" authorId="0" shapeId="0">
      <text>
        <r>
          <rPr>
            <sz val="9"/>
            <color indexed="81"/>
            <rFont val="Tahoma"/>
            <family val="2"/>
          </rPr>
          <t>0 - 100 N.m</t>
        </r>
      </text>
    </comment>
    <comment ref="N3" authorId="0" shapeId="0">
      <text>
        <r>
          <rPr>
            <sz val="9"/>
            <color indexed="81"/>
            <rFont val="Tahoma"/>
            <family val="2"/>
          </rPr>
          <t>0 - 1000 N.m
(Max 1500N.m)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<sst xmlns="http://schemas.openxmlformats.org/spreadsheetml/2006/main" count="331" uniqueCount="147">
  <si>
    <t>Repeatability</t>
  </si>
  <si>
    <t>Uc</t>
  </si>
  <si>
    <t>Ui</t>
  </si>
  <si>
    <t>Value</t>
  </si>
  <si>
    <t>Due Date</t>
  </si>
  <si>
    <t>Nominal Value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</si>
  <si>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</si>
  <si>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</si>
  <si>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</si>
  <si>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Uncertainty Budget of Torque Tool</t>
  </si>
  <si>
    <t>Uncertainty of  STD</t>
  </si>
  <si>
    <t>Resolution of STD</t>
  </si>
  <si>
    <t xml:space="preserve">Resolution of UUc </t>
  </si>
  <si>
    <t>Digital Torque Meter</t>
  </si>
  <si>
    <t>Static Torque Transducer</t>
  </si>
  <si>
    <t>SP-SM-008</t>
  </si>
  <si>
    <t>SP-SM-009</t>
  </si>
  <si>
    <t>SP-SM-010</t>
  </si>
  <si>
    <t>Clockwise</t>
  </si>
  <si>
    <t>N.m</t>
  </si>
  <si>
    <t>Anti-Clockwise</t>
  </si>
  <si>
    <t>SP METROLOGY SYSTEM THAILAND</t>
  </si>
  <si>
    <t>Certificate No. :</t>
  </si>
  <si>
    <t>Receive Date :</t>
  </si>
  <si>
    <t>Calibration Date :</t>
  </si>
  <si>
    <t>to</t>
  </si>
  <si>
    <t>In Lab</t>
  </si>
  <si>
    <t>Temp &amp; Humiduty :</t>
  </si>
  <si>
    <t>%RH</t>
  </si>
  <si>
    <t>On Site</t>
  </si>
  <si>
    <t>Customer Name :</t>
  </si>
  <si>
    <t>Manufacturer :</t>
  </si>
  <si>
    <t>Model</t>
  </si>
  <si>
    <t>Serial No. :</t>
  </si>
  <si>
    <t>ID No :</t>
  </si>
  <si>
    <t>Range :</t>
  </si>
  <si>
    <t>Resolution :</t>
  </si>
  <si>
    <t>Due Date :</t>
  </si>
  <si>
    <t>Averge</t>
  </si>
  <si>
    <t>X1</t>
  </si>
  <si>
    <t>X2</t>
  </si>
  <si>
    <t>X3</t>
  </si>
  <si>
    <t>X4</t>
  </si>
  <si>
    <t>Calibrated By :</t>
  </si>
  <si>
    <t>STD Reading</t>
  </si>
  <si>
    <t>UUC</t>
  </si>
  <si>
    <t>Setting</t>
  </si>
  <si>
    <t>Clockwise Direction ( CW )</t>
  </si>
  <si>
    <t>CounterClock Wise Direction ( CCW )</t>
  </si>
  <si>
    <t>Certificate of Calibration</t>
  </si>
  <si>
    <t>Certificate Number</t>
  </si>
  <si>
    <t>:</t>
  </si>
  <si>
    <t>Customer</t>
  </si>
  <si>
    <t>Equipment Name</t>
  </si>
  <si>
    <t>Manufacturer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</si>
  <si>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</si>
  <si>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</si>
  <si>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</si>
  <si>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</si>
  <si>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</si>
  <si>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</si>
  <si>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</si>
  <si>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</si>
  <si>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</si>
  <si>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</si>
  <si>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</si>
  <si>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</si>
  <si>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</si>
  <si>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</si>
  <si>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</si>
  <si>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</si>
  <si>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</si>
  <si>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</si>
  <si>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</si>
  <si>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</si>
  <si>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</si>
  <si>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</si>
  <si>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</si>
  <si>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</si>
  <si>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Error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</si>
  <si>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</si>
  <si>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</si>
  <si>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</si>
  <si>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</si>
  <si>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SPR16010078</t>
  </si>
  <si>
    <t xml:space="preserve">Equipment Name </t>
  </si>
  <si>
    <t>Location</t>
  </si>
  <si>
    <t>SP</t>
  </si>
  <si>
    <t>Equipment Name :</t>
  </si>
  <si>
    <t>Model :</t>
  </si>
  <si>
    <t>Overall Inspection</t>
  </si>
  <si>
    <t>Good</t>
  </si>
  <si>
    <t>Not Good</t>
  </si>
  <si>
    <t>Unit of torque and conversion value</t>
  </si>
  <si>
    <t>Input Value</t>
  </si>
  <si>
    <t>Page 1 of 1</t>
  </si>
  <si>
    <t>Torque Tool</t>
  </si>
  <si>
    <t>ISHI ISHI</t>
  </si>
  <si>
    <t>T ISHI</t>
  </si>
  <si>
    <t>abcdefg</t>
  </si>
  <si>
    <t>TQ110</t>
  </si>
  <si>
    <t>XTTS100</t>
  </si>
  <si>
    <t>MTL 152175-2</t>
  </si>
  <si>
    <t>MTL 152175-3</t>
  </si>
  <si>
    <t>XTTS1500</t>
  </si>
  <si>
    <t>-The Physikalisch-Technische Bundesanstalt ( Germany ), PTB.</t>
  </si>
  <si>
    <t>-The National Physical Laboratory ( UK ), NPL.</t>
  </si>
  <si>
    <t>Measurement Result : Clockwise Direction ( CW )</t>
  </si>
  <si>
    <t>Measurement Result : CounterClock Wise Direction ( CCW )</t>
  </si>
  <si>
    <t>Reference Standards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</si>
  <si>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</si>
  <si>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</si>
  <si>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</si>
  <si>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</si>
  <si>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50% ± 15 %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</si>
  <si>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</si>
  <si>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</si>
  <si>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</si>
  <si>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</si>
  <si>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</si>
  <si>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</si>
  <si>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</si>
  <si>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SP-CPM-04-03</t>
  </si>
  <si>
    <t xml:space="preserve">Unit : </t>
  </si>
  <si>
    <t>Uncertainty 
( ± )</t>
  </si>
  <si>
    <t>Standard Reading</t>
  </si>
  <si>
    <t>UUC 
Setting</t>
  </si>
  <si>
    <t>Adress</t>
  </si>
  <si>
    <t xml:space="preserve">Reference Standard </t>
  </si>
  <si>
    <t>25 Aug 2017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</si>
  <si>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</si>
  <si>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</si>
  <si>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</si>
  <si>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</si>
  <si>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</si>
  <si>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</si>
  <si>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Calibration Officer</t>
  </si>
  <si>
    <t>(Mr. Santi Hankitudomsuk)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</si>
  <si>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</si>
  <si>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t>N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m</t>
    </r>
  </si>
  <si>
    <r>
      <t>cN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m</t>
    </r>
  </si>
  <si>
    <r>
      <t>kgf</t>
    </r>
    <r>
      <rPr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m</t>
    </r>
  </si>
  <si>
    <r>
      <t>kgf</t>
    </r>
    <r>
      <rPr>
        <sz val="11"/>
        <color theme="1"/>
        <rFont val="Calibri"/>
        <family val="2"/>
        <scheme val="minor"/>
      </rPr>
      <t>·c</t>
    </r>
    <r>
      <rPr>
        <sz val="11"/>
        <color theme="1"/>
        <rFont val="Calibri"/>
        <family val="2"/>
        <scheme val="minor"/>
      </rPr>
      <t>m</t>
    </r>
  </si>
  <si>
    <r>
      <t>ozf</t>
    </r>
    <r>
      <rPr>
        <sz val="11"/>
        <color theme="1"/>
        <rFont val="Calibri"/>
        <family val="2"/>
        <scheme val="minor"/>
      </rPr>
      <t>·in</t>
    </r>
  </si>
  <si>
    <r>
      <t>ozf</t>
    </r>
    <r>
      <rPr>
        <sz val="11"/>
        <color theme="1"/>
        <rFont val="Calibri"/>
        <family val="2"/>
        <scheme val="minor"/>
      </rPr>
      <t>·ft</t>
    </r>
  </si>
  <si>
    <r>
      <t>lbf</t>
    </r>
    <r>
      <rPr>
        <sz val="11"/>
        <color theme="1"/>
        <rFont val="Calibri"/>
        <family val="2"/>
        <scheme val="minor"/>
      </rPr>
      <t>·in</t>
    </r>
  </si>
  <si>
    <r>
      <t>lbf</t>
    </r>
    <r>
      <rPr>
        <sz val="11"/>
        <color theme="1"/>
        <rFont val="Calibri"/>
        <family val="2"/>
        <scheme val="minor"/>
      </rPr>
      <t>·ft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</si>
</sst>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0.000"/>
    <numFmt numFmtId="170" formatCode="0.0000"/>
    <numFmt numFmtId="171" formatCode="0.0E+00"/>
    <numFmt numFmtId="172" formatCode="0.00000"/>
    <numFmt numFmtId="173" formatCode="[$-409]d\-mmm\-yyyy;@"/>
    <numFmt numFmtId="174" formatCode="0.0000000"/>
    <numFmt numFmtId="175" formatCode="0.000000"/>
    <numFmt numFmtId="176" formatCode="[$-809]dd\ mmmm\ yyyy;@"/>
    <numFmt numFmtId="177" formatCode="dd\ mmmm\ yyyy"/>
    <numFmt numFmtId="178" formatCode="[$-1010409]d\ mmmm\ yyyy;@"/>
    <numFmt numFmtId="179" formatCode="[$-409]d\-mmm\-yy;@"/>
    <numFmt numFmtId="180" formatCode="_-* #,##0_-;\-* #,##0_-;_-* &quot;-&quot;??_-;_-@_-"/>
    <numFmt numFmtId="181" formatCode="#,##0.000_ ;\-#,##0.000\ "/>
    <numFmt numFmtId="182" formatCode="[$-409]dd\-mmm\-yy;@"/>
    <numFmt numFmtId="183" formatCode="_-[$€]* #,##0.00_-;\-[$€]* #,##0.00_-;_-[$€]* &quot;-&quot;??_-;_-@_-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8"/>
      <name val="Angsana New"/>
      <family val="1"/>
    </font>
    <font>
      <sz val="16"/>
      <name val="Angsana Ne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4"/>
      <color theme="1"/>
      <name val="Cordia New"/>
      <family val="2"/>
    </font>
    <font>
      <sz val="10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12"/>
      <color theme="8" tint="-0.499984740745262"/>
      <name val="Cordia New"/>
      <family val="2"/>
    </font>
    <font>
      <b/>
      <sz val="18"/>
      <name val="Arial"/>
      <family val="2"/>
    </font>
    <font>
      <b/>
      <sz val="16"/>
      <name val="Angsana New"/>
      <family val="1"/>
    </font>
    <font>
      <b/>
      <sz val="16"/>
      <name val="Gulim"/>
      <family val="2"/>
    </font>
    <font>
      <b/>
      <sz val="18"/>
      <color rgb="FF002060"/>
      <name val="Angsana New"/>
      <family val="1"/>
    </font>
    <font>
      <sz val="10"/>
      <color rgb="FF002060"/>
      <name val="Gulim"/>
      <family val="2"/>
    </font>
    <font>
      <b/>
      <sz val="18"/>
      <color rgb="FFFF0000"/>
      <name val="Angsana New"/>
      <family val="1"/>
    </font>
    <font>
      <sz val="8"/>
      <name val="Gulim"/>
      <family val="2"/>
    </font>
    <font>
      <sz val="14"/>
      <name val="Angsana New"/>
      <family val="1"/>
    </font>
    <font>
      <sz val="5"/>
      <name val="Gulim"/>
      <family val="2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12"/>
      <name val="Gulim"/>
      <family val="2"/>
    </font>
    <font>
      <b/>
      <sz val="14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4"/>
      <color theme="1"/>
      <name val="Calibri"/>
      <family val="2"/>
      <scheme val="minor"/>
    </font>
    <font>
      <sz val="10"/>
      <color rgb="FFFF0000"/>
      <name val="Giulim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9"/>
      <name val="Arial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499984740745262"/>
      <name val="Cordia New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9"/>
      <color rgb="FFFF0000"/>
      <name val="Gulim"/>
      <family val="2"/>
    </font>
    <font>
      <sz val="9"/>
      <name val="Gulim"/>
      <family val="2"/>
    </font>
    <font>
      <sz val="10"/>
      <name val="Gulim"/>
      <family val="2"/>
    </font>
    <font>
      <sz val="16"/>
      <name val="Cordia New"/>
      <family val="2"/>
    </font>
    <font>
      <b/>
      <sz val="10"/>
      <color theme="1"/>
      <name val="Gulim"/>
      <family val="2"/>
    </font>
    <font>
      <sz val="16"/>
      <color theme="1"/>
      <name val="Cordia New"/>
      <family val="2"/>
    </font>
    <font>
      <b/>
      <sz val="12"/>
      <color rgb="FFFF0000"/>
      <name val="Cordia New"/>
      <family val="2"/>
    </font>
    <font>
      <sz val="10"/>
      <color rgb="FF0070C0"/>
      <name val="Gulim"/>
      <family val="2"/>
    </font>
    <font>
      <sz val="10"/>
      <color rgb="FFFF0000"/>
      <name val="Gulim"/>
      <family val="2"/>
    </font>
    <font>
      <sz val="10"/>
      <color rgb="FF00B050"/>
      <name val="Gulim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18AC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7">
    <xf numFmtId="0" fontId="0" fillId="0" borderId="0"/>
    <xf numFmtId="0" fontId="2" fillId="0" borderId="0"/>
    <xf numFmtId="0" fontId="3" fillId="0" borderId="0"/>
    <xf numFmtId="0" fontId="2" fillId="0" borderId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43" fontId="37" fillId="0" borderId="0" applyFont="0" applyFill="0" applyBorder="0" applyAlignment="0" applyProtection="0"/>
    <xf numFmtId="0" fontId="3" fillId="0" borderId="0"/>
    <xf numFmtId="0" fontId="7" fillId="0" borderId="0" applyNumberFormat="0" applyAlignment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38" fontId="7" fillId="2" borderId="0" applyNumberFormat="0" applyBorder="0" applyAlignment="0" applyProtection="0"/>
    <xf numFmtId="0" fontId="67" fillId="0" borderId="16" applyNumberFormat="0" applyAlignment="0" applyProtection="0">
      <alignment horizontal="left" vertical="center"/>
    </xf>
    <xf numFmtId="0" fontId="67" fillId="0" borderId="2">
      <alignment horizontal="left" vertical="center"/>
    </xf>
    <xf numFmtId="10" fontId="7" fillId="2" borderId="3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0" fontId="2" fillId="17" borderId="17" applyNumberFormat="0" applyFont="0" applyAlignment="0" applyProtection="0"/>
    <xf numFmtId="10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485">
    <xf numFmtId="0" fontId="0" fillId="0" borderId="0" xfId="0"/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9" fontId="5" fillId="4" borderId="0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169" fontId="7" fillId="4" borderId="0" xfId="0" applyNumberFormat="1" applyFont="1" applyFill="1" applyBorder="1" applyAlignment="1">
      <alignment horizontal="center" vertical="center"/>
    </xf>
    <xf numFmtId="169" fontId="8" fillId="4" borderId="0" xfId="0" applyNumberFormat="1" applyFont="1" applyFill="1" applyBorder="1" applyAlignment="1">
      <alignment horizontal="center" vertical="center"/>
    </xf>
    <xf numFmtId="171" fontId="7" fillId="4" borderId="0" xfId="0" applyNumberFormat="1" applyFont="1" applyFill="1" applyBorder="1" applyAlignment="1">
      <alignment horizontal="center" vertical="center"/>
    </xf>
    <xf numFmtId="2" fontId="7" fillId="4" borderId="0" xfId="0" applyNumberFormat="1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169" fontId="11" fillId="4" borderId="0" xfId="9" applyNumberFormat="1" applyFont="1" applyFill="1" applyBorder="1" applyAlignment="1">
      <alignment horizontal="center" vertical="center"/>
    </xf>
    <xf numFmtId="0" fontId="13" fillId="4" borderId="0" xfId="9" applyFont="1" applyFill="1" applyBorder="1" applyAlignment="1">
      <alignment horizontal="center" vertical="center"/>
    </xf>
    <xf numFmtId="2" fontId="11" fillId="4" borderId="0" xfId="9" applyNumberFormat="1" applyFont="1" applyFill="1" applyBorder="1" applyAlignment="1">
      <alignment horizontal="center" vertical="center"/>
    </xf>
    <xf numFmtId="2" fontId="13" fillId="4" borderId="0" xfId="9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169" fontId="13" fillId="4" borderId="0" xfId="9" applyNumberFormat="1" applyFont="1" applyFill="1" applyBorder="1" applyAlignment="1">
      <alignment horizontal="center" vertical="center"/>
    </xf>
    <xf numFmtId="169" fontId="5" fillId="4" borderId="0" xfId="0" applyNumberFormat="1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2" fontId="18" fillId="4" borderId="3" xfId="0" applyNumberFormat="1" applyFont="1" applyFill="1" applyBorder="1" applyAlignment="1">
      <alignment horizontal="center" vertical="center"/>
    </xf>
    <xf numFmtId="2" fontId="25" fillId="4" borderId="3" xfId="0" applyNumberFormat="1" applyFont="1" applyFill="1" applyBorder="1" applyAlignment="1">
      <alignment horizontal="center" vertical="center"/>
    </xf>
    <xf numFmtId="169" fontId="18" fillId="4" borderId="3" xfId="0" applyNumberFormat="1" applyFont="1" applyFill="1" applyBorder="1" applyAlignment="1">
      <alignment horizontal="center" vertical="center"/>
    </xf>
    <xf numFmtId="172" fontId="18" fillId="4" borderId="3" xfId="0" applyNumberFormat="1" applyFont="1" applyFill="1" applyBorder="1" applyAlignment="1">
      <alignment horizontal="center" vertical="center"/>
    </xf>
    <xf numFmtId="175" fontId="26" fillId="4" borderId="3" xfId="0" applyNumberFormat="1" applyFont="1" applyFill="1" applyBorder="1" applyAlignment="1">
      <alignment horizontal="center" vertical="center"/>
    </xf>
    <xf numFmtId="174" fontId="18" fillId="4" borderId="3" xfId="0" applyNumberFormat="1" applyFont="1" applyFill="1" applyBorder="1" applyAlignment="1">
      <alignment horizontal="center" vertical="center"/>
    </xf>
    <xf numFmtId="170" fontId="18" fillId="4" borderId="9" xfId="0" applyNumberFormat="1" applyFont="1" applyFill="1" applyBorder="1" applyAlignment="1">
      <alignment horizontal="center" vertical="center"/>
    </xf>
    <xf numFmtId="171" fontId="18" fillId="4" borderId="9" xfId="0" applyNumberFormat="1" applyFont="1" applyFill="1" applyBorder="1" applyAlignment="1">
      <alignment horizontal="center" vertical="center"/>
    </xf>
    <xf numFmtId="0" fontId="11" fillId="0" borderId="0" xfId="20" applyFont="1" applyFill="1" applyAlignment="1">
      <alignment horizontal="center" vertical="center"/>
    </xf>
    <xf numFmtId="0" fontId="30" fillId="0" borderId="0" xfId="20" applyFont="1" applyFill="1" applyAlignment="1">
      <alignment horizontal="center" vertical="center"/>
    </xf>
    <xf numFmtId="0" fontId="29" fillId="0" borderId="0" xfId="20" applyFont="1" applyFill="1" applyAlignment="1">
      <alignment horizontal="center" vertical="center"/>
    </xf>
    <xf numFmtId="0" fontId="32" fillId="0" borderId="0" xfId="20" applyFont="1" applyFill="1" applyAlignment="1">
      <alignment horizontal="center" vertical="center"/>
    </xf>
    <xf numFmtId="168" fontId="15" fillId="0" borderId="4" xfId="20" applyNumberFormat="1" applyFont="1" applyFill="1" applyBorder="1" applyAlignment="1">
      <alignment horizontal="right" vertical="center"/>
    </xf>
    <xf numFmtId="0" fontId="35" fillId="0" borderId="1" xfId="20" applyFont="1" applyFill="1" applyBorder="1" applyAlignment="1">
      <alignment horizontal="left" vertical="center"/>
    </xf>
    <xf numFmtId="170" fontId="15" fillId="3" borderId="4" xfId="20" applyNumberFormat="1" applyFont="1" applyFill="1" applyBorder="1" applyAlignment="1">
      <alignment horizontal="right" vertical="center"/>
    </xf>
    <xf numFmtId="0" fontId="35" fillId="3" borderId="5" xfId="20" applyFont="1" applyFill="1" applyBorder="1" applyAlignment="1">
      <alignment horizontal="left" vertical="center"/>
    </xf>
    <xf numFmtId="0" fontId="15" fillId="0" borderId="10" xfId="20" applyFont="1" applyFill="1" applyBorder="1" applyAlignment="1">
      <alignment horizontal="right" vertical="center"/>
    </xf>
    <xf numFmtId="169" fontId="15" fillId="3" borderId="4" xfId="20" applyNumberFormat="1" applyFont="1" applyFill="1" applyBorder="1" applyAlignment="1">
      <alignment horizontal="right" vertical="center"/>
    </xf>
    <xf numFmtId="168" fontId="15" fillId="0" borderId="10" xfId="20" applyNumberFormat="1" applyFont="1" applyFill="1" applyBorder="1" applyAlignment="1">
      <alignment horizontal="right" vertical="center"/>
    </xf>
    <xf numFmtId="170" fontId="25" fillId="4" borderId="3" xfId="0" applyNumberFormat="1" applyFont="1" applyFill="1" applyBorder="1" applyAlignment="1">
      <alignment horizontal="center" vertical="center"/>
    </xf>
    <xf numFmtId="0" fontId="38" fillId="0" borderId="0" xfId="16" applyFont="1" applyFill="1" applyAlignment="1">
      <alignment vertical="center"/>
    </xf>
    <xf numFmtId="0" fontId="40" fillId="0" borderId="0" xfId="1" applyFont="1" applyAlignment="1">
      <alignment horizontal="center" vertical="center"/>
    </xf>
    <xf numFmtId="0" fontId="41" fillId="0" borderId="0" xfId="1" applyFont="1" applyAlignment="1">
      <alignment vertical="center"/>
    </xf>
    <xf numFmtId="0" fontId="43" fillId="0" borderId="0" xfId="1" applyFont="1" applyAlignment="1">
      <alignment horizontal="center" vertical="center"/>
    </xf>
    <xf numFmtId="0" fontId="39" fillId="0" borderId="0" xfId="1" applyFont="1" applyAlignment="1">
      <alignment vertical="center"/>
    </xf>
    <xf numFmtId="0" fontId="44" fillId="0" borderId="0" xfId="1" applyFont="1" applyAlignment="1">
      <alignment vertical="center"/>
    </xf>
    <xf numFmtId="0" fontId="45" fillId="0" borderId="0" xfId="1" applyFont="1" applyBorder="1" applyAlignment="1">
      <alignment vertical="center"/>
    </xf>
    <xf numFmtId="0" fontId="45" fillId="0" borderId="0" xfId="1" applyFont="1" applyAlignment="1">
      <alignment vertical="center"/>
    </xf>
    <xf numFmtId="0" fontId="45" fillId="0" borderId="0" xfId="1" applyFont="1" applyAlignment="1">
      <alignment horizontal="center" vertical="center"/>
    </xf>
    <xf numFmtId="0" fontId="11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45" fillId="0" borderId="0" xfId="1" applyFont="1" applyAlignment="1">
      <alignment horizontal="right" vertical="center"/>
    </xf>
    <xf numFmtId="0" fontId="45" fillId="0" borderId="0" xfId="1" applyFont="1" applyBorder="1" applyAlignment="1">
      <alignment horizontal="center" vertical="center"/>
    </xf>
    <xf numFmtId="0" fontId="45" fillId="0" borderId="0" xfId="2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46" fillId="0" borderId="0" xfId="3" applyFont="1" applyBorder="1" applyAlignment="1">
      <alignment horizontal="left" vertical="center"/>
    </xf>
    <xf numFmtId="0" fontId="11" fillId="0" borderId="0" xfId="3" applyFont="1" applyBorder="1" applyAlignment="1">
      <alignment horizontal="left" vertical="center"/>
    </xf>
    <xf numFmtId="0" fontId="39" fillId="0" borderId="0" xfId="3" applyFont="1" applyBorder="1" applyAlignment="1">
      <alignment horizontal="left" vertical="center"/>
    </xf>
    <xf numFmtId="0" fontId="39" fillId="0" borderId="0" xfId="1" applyFont="1" applyBorder="1" applyAlignment="1">
      <alignment vertical="center"/>
    </xf>
    <xf numFmtId="0" fontId="11" fillId="0" borderId="0" xfId="2" applyFont="1" applyBorder="1" applyAlignment="1">
      <alignment horizontal="left" vertical="center"/>
    </xf>
    <xf numFmtId="0" fontId="11" fillId="0" borderId="0" xfId="3" applyFont="1" applyFill="1" applyBorder="1" applyAlignment="1">
      <alignment horizontal="left" vertical="center"/>
    </xf>
    <xf numFmtId="0" fontId="44" fillId="0" borderId="0" xfId="1" applyFont="1" applyBorder="1" applyAlignment="1">
      <alignment vertical="center"/>
    </xf>
    <xf numFmtId="0" fontId="45" fillId="0" borderId="1" xfId="1" applyFont="1" applyBorder="1" applyAlignment="1">
      <alignment vertical="center"/>
    </xf>
    <xf numFmtId="0" fontId="45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vertical="center"/>
    </xf>
    <xf numFmtId="0" fontId="11" fillId="0" borderId="1" xfId="3" applyFont="1" applyBorder="1" applyAlignment="1">
      <alignment horizontal="left" vertical="center"/>
    </xf>
    <xf numFmtId="167" fontId="39" fillId="0" borderId="0" xfId="4" applyFont="1" applyFill="1" applyBorder="1" applyAlignment="1" applyProtection="1">
      <alignment vertical="center"/>
      <protection locked="0"/>
    </xf>
    <xf numFmtId="0" fontId="39" fillId="0" borderId="0" xfId="1" applyFont="1" applyBorder="1" applyAlignment="1">
      <alignment horizontal="left" vertical="center"/>
    </xf>
    <xf numFmtId="0" fontId="45" fillId="0" borderId="0" xfId="2" applyFont="1" applyBorder="1" applyAlignment="1">
      <alignment horizontal="center" vertical="center"/>
    </xf>
    <xf numFmtId="0" fontId="39" fillId="0" borderId="0" xfId="1" applyFont="1" applyAlignment="1">
      <alignment horizontal="left" vertical="center"/>
    </xf>
    <xf numFmtId="0" fontId="39" fillId="0" borderId="0" xfId="2" applyFont="1" applyBorder="1" applyAlignment="1">
      <alignment vertical="center"/>
    </xf>
    <xf numFmtId="0" fontId="45" fillId="0" borderId="0" xfId="2" applyFont="1" applyBorder="1" applyAlignment="1">
      <alignment horizontal="left" vertical="center"/>
    </xf>
    <xf numFmtId="0" fontId="11" fillId="0" borderId="0" xfId="2" quotePrefix="1" applyFont="1" applyBorder="1" applyAlignment="1">
      <alignment vertical="center"/>
    </xf>
    <xf numFmtId="1" fontId="45" fillId="0" borderId="0" xfId="2" applyNumberFormat="1" applyFont="1" applyBorder="1" applyAlignment="1">
      <alignment horizontal="left" vertical="center"/>
    </xf>
    <xf numFmtId="0" fontId="45" fillId="0" borderId="0" xfId="1" applyFont="1" applyAlignment="1">
      <alignment horizontal="left" vertical="center"/>
    </xf>
    <xf numFmtId="177" fontId="11" fillId="0" borderId="0" xfId="2" applyNumberFormat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38" fillId="0" borderId="0" xfId="1" applyFont="1" applyAlignment="1">
      <alignment vertical="center"/>
    </xf>
    <xf numFmtId="0" fontId="38" fillId="0" borderId="0" xfId="2" applyFont="1" applyBorder="1" applyAlignment="1">
      <alignment horizontal="left" vertical="center"/>
    </xf>
    <xf numFmtId="0" fontId="11" fillId="0" borderId="0" xfId="1" quotePrefix="1" applyFont="1" applyAlignment="1">
      <alignment vertical="center"/>
    </xf>
    <xf numFmtId="0" fontId="39" fillId="0" borderId="0" xfId="6" applyFont="1" applyBorder="1" applyAlignment="1">
      <alignment vertical="center"/>
    </xf>
    <xf numFmtId="0" fontId="39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44" fillId="0" borderId="0" xfId="1" applyFont="1" applyAlignment="1">
      <alignment horizontal="right" vertical="center"/>
    </xf>
    <xf numFmtId="0" fontId="47" fillId="0" borderId="0" xfId="1" applyFont="1" applyBorder="1" applyAlignment="1">
      <alignment vertical="center"/>
    </xf>
    <xf numFmtId="0" fontId="48" fillId="0" borderId="0" xfId="1" applyFont="1" applyBorder="1" applyAlignment="1">
      <alignment vertical="center"/>
    </xf>
    <xf numFmtId="0" fontId="39" fillId="0" borderId="0" xfId="1" quotePrefix="1" applyFont="1" applyBorder="1" applyAlignment="1">
      <alignment vertical="center" shrinkToFit="1"/>
    </xf>
    <xf numFmtId="0" fontId="49" fillId="0" borderId="0" xfId="1" applyFont="1" applyAlignment="1">
      <alignment vertical="center"/>
    </xf>
    <xf numFmtId="0" fontId="48" fillId="0" borderId="0" xfId="1" applyFont="1" applyAlignment="1">
      <alignment vertical="center"/>
    </xf>
    <xf numFmtId="0" fontId="48" fillId="0" borderId="0" xfId="1" applyFont="1" applyBorder="1" applyAlignment="1">
      <alignment horizontal="center" vertical="center"/>
    </xf>
    <xf numFmtId="0" fontId="40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49" fillId="0" borderId="0" xfId="2" applyFont="1" applyBorder="1" applyAlignment="1">
      <alignment vertical="center"/>
    </xf>
    <xf numFmtId="0" fontId="48" fillId="0" borderId="0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50" fillId="0" borderId="0" xfId="3" applyFont="1" applyBorder="1" applyAlignment="1">
      <alignment horizontal="left" vertical="center"/>
    </xf>
    <xf numFmtId="0" fontId="49" fillId="0" borderId="1" xfId="1" applyFont="1" applyBorder="1" applyAlignment="1">
      <alignment vertical="center"/>
    </xf>
    <xf numFmtId="0" fontId="48" fillId="0" borderId="1" xfId="1" applyFont="1" applyBorder="1" applyAlignment="1">
      <alignment vertical="center"/>
    </xf>
    <xf numFmtId="0" fontId="48" fillId="0" borderId="1" xfId="1" applyFont="1" applyBorder="1" applyAlignment="1">
      <alignment horizontal="center" vertical="center"/>
    </xf>
    <xf numFmtId="0" fontId="51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4" fillId="0" borderId="1" xfId="1" applyFont="1" applyBorder="1" applyAlignment="1">
      <alignment vertical="center"/>
    </xf>
    <xf numFmtId="0" fontId="44" fillId="0" borderId="0" xfId="3" applyFont="1" applyBorder="1" applyAlignment="1">
      <alignment horizontal="left" vertical="center"/>
    </xf>
    <xf numFmtId="0" fontId="39" fillId="0" borderId="0" xfId="2" applyFont="1" applyAlignment="1">
      <alignment vertical="center"/>
    </xf>
    <xf numFmtId="0" fontId="52" fillId="0" borderId="0" xfId="2" applyFont="1" applyBorder="1" applyAlignment="1">
      <alignment horizontal="left" vertical="center"/>
    </xf>
    <xf numFmtId="0" fontId="47" fillId="0" borderId="0" xfId="2" applyFont="1" applyBorder="1" applyAlignment="1">
      <alignment horizontal="center" vertical="center"/>
    </xf>
    <xf numFmtId="178" fontId="47" fillId="0" borderId="0" xfId="2" applyNumberFormat="1" applyFont="1" applyBorder="1" applyAlignment="1">
      <alignment horizontal="left" vertical="center"/>
    </xf>
    <xf numFmtId="0" fontId="53" fillId="0" borderId="0" xfId="1" applyFont="1" applyAlignment="1">
      <alignment vertical="center"/>
    </xf>
    <xf numFmtId="0" fontId="47" fillId="0" borderId="0" xfId="2" applyFont="1" applyBorder="1" applyAlignment="1">
      <alignment horizontal="left" vertical="center"/>
    </xf>
    <xf numFmtId="0" fontId="39" fillId="0" borderId="0" xfId="2" applyFont="1" applyBorder="1" applyAlignment="1">
      <alignment horizontal="left" vertical="center"/>
    </xf>
    <xf numFmtId="0" fontId="47" fillId="0" borderId="0" xfId="2" applyFont="1" applyBorder="1" applyAlignment="1">
      <alignment vertical="center"/>
    </xf>
    <xf numFmtId="0" fontId="44" fillId="0" borderId="0" xfId="2" applyFont="1" applyBorder="1" applyAlignment="1">
      <alignment vertical="center"/>
    </xf>
    <xf numFmtId="0" fontId="49" fillId="0" borderId="0" xfId="1" applyFont="1" applyBorder="1" applyAlignment="1">
      <alignment vertical="center"/>
    </xf>
    <xf numFmtId="0" fontId="54" fillId="0" borderId="0" xfId="1" applyFont="1" applyAlignment="1">
      <alignment vertical="center"/>
    </xf>
    <xf numFmtId="0" fontId="54" fillId="0" borderId="0" xfId="1" applyFont="1" applyBorder="1" applyAlignment="1">
      <alignment vertical="center"/>
    </xf>
    <xf numFmtId="0" fontId="39" fillId="0" borderId="0" xfId="5" applyFont="1" applyBorder="1" applyAlignment="1">
      <alignment vertical="center"/>
    </xf>
    <xf numFmtId="0" fontId="44" fillId="0" borderId="0" xfId="1" applyFont="1" applyAlignment="1">
      <alignment horizontal="center" vertical="center"/>
    </xf>
    <xf numFmtId="0" fontId="11" fillId="0" borderId="0" xfId="1" quotePrefix="1" applyFont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77" fontId="44" fillId="0" borderId="0" xfId="1" applyNumberFormat="1" applyFont="1" applyBorder="1" applyAlignment="1">
      <alignment vertical="center"/>
    </xf>
    <xf numFmtId="2" fontId="44" fillId="0" borderId="0" xfId="2" applyNumberFormat="1" applyFont="1" applyBorder="1" applyAlignment="1">
      <alignment vertical="center"/>
    </xf>
    <xf numFmtId="1" fontId="44" fillId="0" borderId="0" xfId="2" applyNumberFormat="1" applyFont="1" applyBorder="1" applyAlignment="1">
      <alignment vertical="center"/>
    </xf>
    <xf numFmtId="177" fontId="2" fillId="0" borderId="0" xfId="1" applyNumberFormat="1" applyFont="1" applyBorder="1" applyAlignment="1">
      <alignment vertical="center"/>
    </xf>
    <xf numFmtId="0" fontId="11" fillId="0" borderId="0" xfId="2" applyNumberFormat="1" applyFont="1" applyBorder="1" applyAlignment="1">
      <alignment vertical="center"/>
    </xf>
    <xf numFmtId="0" fontId="11" fillId="0" borderId="0" xfId="2" applyNumberFormat="1" applyFont="1" applyAlignment="1">
      <alignment vertical="center"/>
    </xf>
    <xf numFmtId="0" fontId="45" fillId="0" borderId="0" xfId="2" applyNumberFormat="1" applyFont="1" applyBorder="1" applyAlignment="1">
      <alignment vertical="center"/>
    </xf>
    <xf numFmtId="0" fontId="11" fillId="0" borderId="0" xfId="1" applyNumberFormat="1" applyFont="1" applyBorder="1" applyAlignment="1">
      <alignment vertical="center"/>
    </xf>
    <xf numFmtId="0" fontId="55" fillId="0" borderId="0" xfId="2" applyNumberFormat="1" applyFont="1" applyBorder="1" applyAlignment="1">
      <alignment horizontal="right" vertical="center"/>
    </xf>
    <xf numFmtId="0" fontId="45" fillId="0" borderId="0" xfId="1" applyNumberFormat="1" applyFont="1" applyAlignment="1">
      <alignment vertical="center"/>
    </xf>
    <xf numFmtId="0" fontId="11" fillId="0" borderId="0" xfId="2" applyNumberFormat="1" applyFont="1" applyAlignment="1">
      <alignment horizontal="center" vertical="center"/>
    </xf>
    <xf numFmtId="0" fontId="45" fillId="0" borderId="0" xfId="1" applyNumberFormat="1" applyFont="1" applyAlignment="1">
      <alignment horizontal="right" vertical="center"/>
    </xf>
    <xf numFmtId="0" fontId="39" fillId="0" borderId="0" xfId="2" applyFont="1" applyAlignment="1"/>
    <xf numFmtId="0" fontId="11" fillId="0" borderId="0" xfId="2" applyFont="1"/>
    <xf numFmtId="0" fontId="11" fillId="0" borderId="0" xfId="2" applyNumberFormat="1" applyFont="1" applyAlignment="1">
      <alignment horizontal="left" vertical="center"/>
    </xf>
    <xf numFmtId="0" fontId="39" fillId="0" borderId="0" xfId="2" applyFont="1"/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0" fontId="45" fillId="0" borderId="0" xfId="2" applyFont="1" applyAlignment="1">
      <alignment horizontal="left" vertical="center"/>
    </xf>
    <xf numFmtId="0" fontId="11" fillId="0" borderId="1" xfId="2" applyNumberFormat="1" applyFont="1" applyBorder="1" applyAlignment="1">
      <alignment vertical="center"/>
    </xf>
    <xf numFmtId="0" fontId="56" fillId="0" borderId="0" xfId="2" applyNumberFormat="1" applyFont="1" applyAlignment="1">
      <alignment vertical="center"/>
    </xf>
    <xf numFmtId="0" fontId="12" fillId="0" borderId="0" xfId="2" applyNumberFormat="1" applyFont="1" applyAlignment="1">
      <alignment vertical="center"/>
    </xf>
    <xf numFmtId="2" fontId="11" fillId="0" borderId="0" xfId="2" applyNumberFormat="1" applyFont="1" applyAlignment="1">
      <alignment vertical="center"/>
    </xf>
    <xf numFmtId="0" fontId="11" fillId="0" borderId="0" xfId="2" applyNumberFormat="1" applyFont="1" applyBorder="1" applyAlignment="1">
      <alignment horizontal="right" vertical="center"/>
    </xf>
    <xf numFmtId="0" fontId="11" fillId="0" borderId="0" xfId="17" applyNumberFormat="1" applyFont="1" applyBorder="1"/>
    <xf numFmtId="0" fontId="11" fillId="0" borderId="0" xfId="7" applyNumberFormat="1" applyFont="1" applyBorder="1" applyAlignment="1">
      <alignment vertical="center"/>
    </xf>
    <xf numFmtId="0" fontId="11" fillId="0" borderId="0" xfId="7" applyNumberFormat="1" applyFont="1" applyAlignment="1">
      <alignment vertical="center"/>
    </xf>
    <xf numFmtId="0" fontId="11" fillId="0" borderId="0" xfId="0" applyFont="1" applyBorder="1" applyAlignment="1">
      <alignment vertical="center" shrinkToFit="1"/>
    </xf>
    <xf numFmtId="0" fontId="11" fillId="0" borderId="0" xfId="7" applyNumberFormat="1" applyFont="1" applyBorder="1" applyAlignment="1">
      <alignment horizontal="center" vertical="center"/>
    </xf>
    <xf numFmtId="0" fontId="2" fillId="0" borderId="0" xfId="2" applyNumberFormat="1" applyFont="1" applyAlignment="1">
      <alignment vertical="center"/>
    </xf>
    <xf numFmtId="0" fontId="11" fillId="0" borderId="0" xfId="2" quotePrefix="1" applyNumberFormat="1" applyFont="1" applyBorder="1" applyAlignment="1">
      <alignment vertical="center"/>
    </xf>
    <xf numFmtId="0" fontId="57" fillId="0" borderId="0" xfId="8" applyNumberFormat="1" applyFont="1" applyBorder="1" applyAlignment="1">
      <alignment vertical="center" shrinkToFit="1"/>
    </xf>
    <xf numFmtId="0" fontId="38" fillId="0" borderId="0" xfId="17" applyFont="1" applyFill="1" applyAlignment="1">
      <alignment vertical="center"/>
    </xf>
    <xf numFmtId="2" fontId="11" fillId="0" borderId="0" xfId="2" applyNumberFormat="1" applyFont="1" applyFill="1" applyBorder="1" applyAlignment="1" applyProtection="1">
      <alignment vertical="center"/>
    </xf>
    <xf numFmtId="2" fontId="11" fillId="0" borderId="14" xfId="2" applyNumberFormat="1" applyFont="1" applyFill="1" applyBorder="1" applyAlignment="1" applyProtection="1">
      <alignment horizontal="center" vertical="center"/>
    </xf>
    <xf numFmtId="2" fontId="11" fillId="0" borderId="0" xfId="2" applyNumberFormat="1" applyFont="1" applyFill="1" applyBorder="1" applyAlignment="1" applyProtection="1">
      <alignment horizontal="center" vertical="center"/>
    </xf>
    <xf numFmtId="1" fontId="11" fillId="0" borderId="0" xfId="2" applyNumberFormat="1" applyFont="1" applyFill="1" applyBorder="1" applyAlignment="1" applyProtection="1">
      <alignment vertical="center"/>
    </xf>
    <xf numFmtId="0" fontId="56" fillId="0" borderId="0" xfId="2" applyNumberFormat="1" applyFont="1" applyBorder="1" applyAlignment="1">
      <alignment vertical="center"/>
    </xf>
    <xf numFmtId="169" fontId="11" fillId="0" borderId="14" xfId="2" applyNumberFormat="1" applyFont="1" applyFill="1" applyBorder="1" applyAlignment="1" applyProtection="1">
      <alignment horizontal="center" vertical="center"/>
    </xf>
    <xf numFmtId="168" fontId="11" fillId="0" borderId="14" xfId="2" applyNumberFormat="1" applyFont="1" applyFill="1" applyBorder="1" applyAlignment="1" applyProtection="1">
      <alignment horizontal="center" vertical="center"/>
    </xf>
    <xf numFmtId="1" fontId="11" fillId="0" borderId="14" xfId="2" applyNumberFormat="1" applyFont="1" applyFill="1" applyBorder="1" applyAlignment="1" applyProtection="1">
      <alignment horizontal="center" vertical="center"/>
    </xf>
    <xf numFmtId="0" fontId="59" fillId="0" borderId="0" xfId="2" applyNumberFormat="1" applyFont="1" applyAlignment="1">
      <alignment vertical="center"/>
    </xf>
    <xf numFmtId="1" fontId="12" fillId="0" borderId="0" xfId="2" applyNumberFormat="1" applyFont="1" applyFill="1" applyBorder="1" applyAlignment="1" applyProtection="1">
      <alignment vertical="center"/>
    </xf>
    <xf numFmtId="2" fontId="12" fillId="0" borderId="0" xfId="2" applyNumberFormat="1" applyFont="1" applyAlignment="1">
      <alignment vertical="center"/>
    </xf>
    <xf numFmtId="1" fontId="12" fillId="0" borderId="1" xfId="2" applyNumberFormat="1" applyFont="1" applyFill="1" applyBorder="1" applyAlignment="1" applyProtection="1">
      <alignment horizontal="center" vertical="center"/>
    </xf>
    <xf numFmtId="168" fontId="12" fillId="0" borderId="1" xfId="2" applyNumberFormat="1" applyFont="1" applyFill="1" applyBorder="1" applyAlignment="1" applyProtection="1">
      <alignment horizontal="center" vertical="center"/>
    </xf>
    <xf numFmtId="169" fontId="12" fillId="0" borderId="1" xfId="2" applyNumberFormat="1" applyFont="1" applyFill="1" applyBorder="1" applyAlignment="1" applyProtection="1">
      <alignment horizontal="center" vertical="center"/>
    </xf>
    <xf numFmtId="2" fontId="12" fillId="0" borderId="1" xfId="2" applyNumberFormat="1" applyFont="1" applyFill="1" applyBorder="1" applyAlignment="1" applyProtection="1">
      <alignment horizontal="center" vertical="center"/>
    </xf>
    <xf numFmtId="0" fontId="2" fillId="0" borderId="0" xfId="1" applyFont="1" applyAlignment="1">
      <alignment horizontal="center" vertical="center"/>
    </xf>
    <xf numFmtId="176" fontId="11" fillId="0" borderId="0" xfId="2" quotePrefix="1" applyNumberFormat="1" applyFont="1" applyBorder="1" applyAlignment="1">
      <alignment vertical="center"/>
    </xf>
    <xf numFmtId="176" fontId="11" fillId="0" borderId="0" xfId="2" applyNumberFormat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1" fontId="11" fillId="0" borderId="0" xfId="2" quotePrefix="1" applyNumberFormat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62" fillId="0" borderId="0" xfId="1" applyFont="1" applyBorder="1" applyAlignment="1">
      <alignment vertical="center"/>
    </xf>
    <xf numFmtId="0" fontId="62" fillId="0" borderId="0" xfId="1" applyFont="1" applyAlignment="1">
      <alignment vertical="center"/>
    </xf>
    <xf numFmtId="0" fontId="62" fillId="0" borderId="0" xfId="1" applyFont="1" applyAlignment="1">
      <alignment horizontal="center" vertical="center"/>
    </xf>
    <xf numFmtId="0" fontId="63" fillId="0" borderId="0" xfId="1" applyFont="1" applyBorder="1" applyAlignment="1">
      <alignment vertical="center"/>
    </xf>
    <xf numFmtId="0" fontId="63" fillId="0" borderId="0" xfId="1" applyFont="1" applyAlignment="1">
      <alignment vertical="center"/>
    </xf>
    <xf numFmtId="0" fontId="62" fillId="0" borderId="0" xfId="1" applyFont="1" applyBorder="1" applyAlignment="1">
      <alignment horizontal="center" vertical="center"/>
    </xf>
    <xf numFmtId="0" fontId="62" fillId="0" borderId="0" xfId="2" applyFont="1" applyBorder="1" applyAlignment="1">
      <alignment vertical="center"/>
    </xf>
    <xf numFmtId="0" fontId="63" fillId="0" borderId="0" xfId="2" applyFont="1" applyBorder="1" applyAlignment="1">
      <alignment vertical="center"/>
    </xf>
    <xf numFmtId="0" fontId="64" fillId="0" borderId="0" xfId="3" applyFont="1" applyBorder="1" applyAlignment="1">
      <alignment horizontal="left" vertical="center"/>
    </xf>
    <xf numFmtId="0" fontId="63" fillId="0" borderId="0" xfId="3" applyFont="1" applyBorder="1" applyAlignment="1">
      <alignment horizontal="left" vertical="center"/>
    </xf>
    <xf numFmtId="0" fontId="63" fillId="0" borderId="0" xfId="2" applyFont="1" applyBorder="1" applyAlignment="1">
      <alignment horizontal="left" vertical="center"/>
    </xf>
    <xf numFmtId="0" fontId="63" fillId="0" borderId="0" xfId="3" applyFont="1" applyFill="1" applyBorder="1" applyAlignment="1">
      <alignment horizontal="left" vertical="center"/>
    </xf>
    <xf numFmtId="167" fontId="39" fillId="0" borderId="1" xfId="4" applyFont="1" applyFill="1" applyBorder="1" applyAlignment="1" applyProtection="1">
      <alignment vertical="center"/>
      <protection locked="0"/>
    </xf>
    <xf numFmtId="0" fontId="39" fillId="0" borderId="1" xfId="1" applyFont="1" applyBorder="1" applyAlignment="1">
      <alignment horizontal="left" vertical="center"/>
    </xf>
    <xf numFmtId="0" fontId="45" fillId="0" borderId="0" xfId="3" applyFont="1" applyFill="1" applyBorder="1" applyAlignment="1">
      <alignment horizontal="left"/>
    </xf>
    <xf numFmtId="0" fontId="62" fillId="0" borderId="0" xfId="2" applyFont="1" applyBorder="1" applyAlignment="1">
      <alignment horizontal="left" vertical="center"/>
    </xf>
    <xf numFmtId="0" fontId="63" fillId="0" borderId="0" xfId="2" quotePrefix="1" applyFont="1" applyBorder="1" applyAlignment="1">
      <alignment vertical="center"/>
    </xf>
    <xf numFmtId="1" fontId="11" fillId="0" borderId="0" xfId="2" quotePrefix="1" applyNumberFormat="1" applyFont="1" applyBorder="1" applyAlignment="1">
      <alignment vertical="center"/>
    </xf>
    <xf numFmtId="1" fontId="63" fillId="0" borderId="0" xfId="2" applyNumberFormat="1" applyFont="1" applyBorder="1" applyAlignment="1">
      <alignment horizontal="left" vertical="center"/>
    </xf>
    <xf numFmtId="1" fontId="63" fillId="0" borderId="0" xfId="2" quotePrefix="1" applyNumberFormat="1" applyFont="1" applyBorder="1" applyAlignment="1">
      <alignment horizontal="left" vertical="center"/>
    </xf>
    <xf numFmtId="0" fontId="65" fillId="0" borderId="0" xfId="2" applyFont="1" applyBorder="1" applyAlignment="1">
      <alignment horizontal="left" vertical="center"/>
    </xf>
    <xf numFmtId="9" fontId="65" fillId="0" borderId="0" xfId="2" applyNumberFormat="1" applyFont="1" applyBorder="1" applyAlignment="1">
      <alignment horizontal="left" vertical="center"/>
    </xf>
    <xf numFmtId="0" fontId="11" fillId="0" borderId="0" xfId="6" applyFont="1" applyBorder="1" applyAlignment="1">
      <alignment vertical="center"/>
    </xf>
    <xf numFmtId="0" fontId="11" fillId="0" borderId="0" xfId="1" applyFont="1" applyAlignment="1">
      <alignment horizontal="left" vertical="center"/>
    </xf>
    <xf numFmtId="0" fontId="58" fillId="0" borderId="0" xfId="22" applyFont="1"/>
    <xf numFmtId="177" fontId="63" fillId="0" borderId="0" xfId="1" applyNumberFormat="1" applyFont="1" applyAlignment="1">
      <alignment vertical="center"/>
    </xf>
    <xf numFmtId="0" fontId="63" fillId="0" borderId="1" xfId="1" applyFont="1" applyBorder="1" applyAlignment="1">
      <alignment vertical="center"/>
    </xf>
    <xf numFmtId="0" fontId="39" fillId="0" borderId="1" xfId="1" applyFont="1" applyBorder="1" applyAlignment="1">
      <alignment vertical="center"/>
    </xf>
    <xf numFmtId="0" fontId="63" fillId="0" borderId="0" xfId="1" applyFont="1" applyBorder="1" applyAlignment="1">
      <alignment horizontal="left" vertical="center"/>
    </xf>
    <xf numFmtId="0" fontId="63" fillId="0" borderId="0" xfId="1" applyFont="1" applyAlignment="1">
      <alignment horizontal="center" vertical="center"/>
    </xf>
    <xf numFmtId="2" fontId="63" fillId="0" borderId="0" xfId="2" applyNumberFormat="1" applyFont="1" applyBorder="1" applyAlignment="1">
      <alignment vertical="center"/>
    </xf>
    <xf numFmtId="0" fontId="66" fillId="0" borderId="0" xfId="22" applyFont="1" applyFill="1" applyBorder="1" applyAlignment="1">
      <alignment vertical="center"/>
    </xf>
    <xf numFmtId="0" fontId="2" fillId="0" borderId="0" xfId="22" applyFont="1" applyAlignment="1">
      <alignment vertical="center"/>
    </xf>
    <xf numFmtId="0" fontId="3" fillId="0" borderId="0" xfId="22"/>
    <xf numFmtId="0" fontId="38" fillId="0" borderId="0" xfId="22" applyFont="1" applyFill="1" applyAlignment="1">
      <alignment vertical="center"/>
    </xf>
    <xf numFmtId="0" fontId="19" fillId="0" borderId="0" xfId="22" applyFont="1" applyAlignment="1">
      <alignment vertical="center"/>
    </xf>
    <xf numFmtId="182" fontId="63" fillId="0" borderId="0" xfId="1" applyNumberFormat="1" applyFont="1" applyAlignment="1">
      <alignment horizontal="left" vertical="center"/>
    </xf>
    <xf numFmtId="0" fontId="63" fillId="0" borderId="14" xfId="1" applyFont="1" applyBorder="1" applyAlignment="1">
      <alignment vertical="center"/>
    </xf>
    <xf numFmtId="0" fontId="39" fillId="0" borderId="14" xfId="1" applyFont="1" applyBorder="1" applyAlignment="1">
      <alignment vertical="center"/>
    </xf>
    <xf numFmtId="0" fontId="62" fillId="0" borderId="0" xfId="1" applyFont="1" applyAlignment="1">
      <alignment horizontal="left" vertical="center"/>
    </xf>
    <xf numFmtId="0" fontId="20" fillId="8" borderId="7" xfId="0" applyFont="1" applyFill="1" applyBorder="1" applyAlignment="1">
      <alignment horizontal="center" vertical="center"/>
    </xf>
    <xf numFmtId="0" fontId="22" fillId="18" borderId="7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22" fillId="18" borderId="9" xfId="0" applyFont="1" applyFill="1" applyBorder="1" applyAlignment="1">
      <alignment horizontal="center"/>
    </xf>
    <xf numFmtId="0" fontId="18" fillId="18" borderId="3" xfId="0" applyFont="1" applyFill="1" applyBorder="1" applyAlignment="1">
      <alignment horizontal="center" vertical="center"/>
    </xf>
    <xf numFmtId="2" fontId="27" fillId="18" borderId="3" xfId="0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/>
    <xf numFmtId="173" fontId="63" fillId="0" borderId="0" xfId="1" applyNumberFormat="1" applyFont="1" applyAlignment="1">
      <alignment vertical="center"/>
    </xf>
    <xf numFmtId="0" fontId="69" fillId="0" borderId="0" xfId="16" applyFont="1" applyFill="1" applyAlignment="1"/>
    <xf numFmtId="0" fontId="70" fillId="0" borderId="0" xfId="16" applyFont="1" applyFill="1" applyBorder="1" applyAlignment="1">
      <alignment vertical="center"/>
    </xf>
    <xf numFmtId="0" fontId="69" fillId="0" borderId="0" xfId="16" applyFont="1" applyFill="1" applyBorder="1" applyAlignment="1"/>
    <xf numFmtId="0" fontId="70" fillId="0" borderId="0" xfId="16" applyFont="1" applyFill="1" applyAlignment="1">
      <alignment vertical="center"/>
    </xf>
    <xf numFmtId="177" fontId="71" fillId="0" borderId="0" xfId="16" applyNumberFormat="1" applyFont="1" applyFill="1" applyBorder="1" applyAlignment="1">
      <alignment vertical="center"/>
    </xf>
    <xf numFmtId="0" fontId="70" fillId="0" borderId="0" xfId="0" applyFont="1" applyFill="1" applyAlignment="1">
      <alignment vertical="center"/>
    </xf>
    <xf numFmtId="177" fontId="69" fillId="0" borderId="0" xfId="16" applyNumberFormat="1" applyFont="1" applyFill="1" applyBorder="1" applyAlignment="1"/>
    <xf numFmtId="169" fontId="72" fillId="4" borderId="0" xfId="0" applyNumberFormat="1" applyFont="1" applyFill="1" applyBorder="1" applyAlignment="1">
      <alignment vertical="center"/>
    </xf>
    <xf numFmtId="0" fontId="69" fillId="0" borderId="0" xfId="16" applyFont="1" applyFill="1" applyAlignment="1">
      <alignment horizontal="center"/>
    </xf>
    <xf numFmtId="0" fontId="69" fillId="0" borderId="0" xfId="16" applyFont="1" applyFill="1" applyAlignment="1">
      <alignment horizontal="left"/>
    </xf>
    <xf numFmtId="0" fontId="71" fillId="0" borderId="0" xfId="16" applyFont="1" applyFill="1" applyAlignment="1">
      <alignment vertical="center"/>
    </xf>
    <xf numFmtId="0" fontId="69" fillId="0" borderId="0" xfId="0" applyFont="1" applyFill="1" applyBorder="1" applyAlignment="1"/>
    <xf numFmtId="0" fontId="69" fillId="0" borderId="0" xfId="0" applyFont="1" applyFill="1" applyBorder="1" applyAlignment="1">
      <alignment vertical="center"/>
    </xf>
    <xf numFmtId="0" fontId="69" fillId="0" borderId="0" xfId="0" applyFont="1" applyFill="1" applyAlignment="1">
      <alignment vertical="center"/>
    </xf>
    <xf numFmtId="0" fontId="76" fillId="4" borderId="0" xfId="2" applyFont="1" applyFill="1" applyBorder="1" applyProtection="1"/>
    <xf numFmtId="0" fontId="77" fillId="4" borderId="0" xfId="2" applyFont="1" applyFill="1" applyBorder="1" applyProtection="1"/>
    <xf numFmtId="0" fontId="78" fillId="4" borderId="0" xfId="2" applyFont="1" applyFill="1" applyBorder="1" applyProtection="1"/>
    <xf numFmtId="0" fontId="69" fillId="0" borderId="0" xfId="0" applyFont="1" applyFill="1" applyBorder="1" applyAlignment="1" applyProtection="1">
      <protection locked="0"/>
    </xf>
    <xf numFmtId="0" fontId="69" fillId="0" borderId="0" xfId="0" applyFont="1" applyFill="1" applyBorder="1" applyAlignment="1" applyProtection="1">
      <alignment vertical="center"/>
      <protection locked="0"/>
    </xf>
    <xf numFmtId="0" fontId="79" fillId="15" borderId="0" xfId="2" applyFont="1" applyFill="1" applyBorder="1" applyAlignment="1" applyProtection="1">
      <alignment horizontal="center" vertical="center"/>
    </xf>
    <xf numFmtId="0" fontId="70" fillId="0" borderId="0" xfId="0" applyFont="1" applyFill="1" applyBorder="1" applyAlignment="1">
      <alignment horizontal="right" vertical="center"/>
    </xf>
    <xf numFmtId="2" fontId="77" fillId="4" borderId="0" xfId="2" applyNumberFormat="1" applyFont="1" applyFill="1" applyBorder="1" applyProtection="1">
      <protection locked="0"/>
    </xf>
    <xf numFmtId="169" fontId="76" fillId="4" borderId="0" xfId="2" applyNumberFormat="1" applyFont="1" applyFill="1" applyBorder="1" applyProtection="1"/>
    <xf numFmtId="169" fontId="77" fillId="4" borderId="0" xfId="2" applyNumberFormat="1" applyFont="1" applyFill="1" applyBorder="1" applyProtection="1"/>
    <xf numFmtId="0" fontId="69" fillId="0" borderId="0" xfId="0" applyFont="1" applyFill="1" applyAlignment="1"/>
    <xf numFmtId="0" fontId="69" fillId="0" borderId="0" xfId="0" applyFont="1" applyFill="1" applyBorder="1" applyAlignment="1">
      <alignment horizontal="center"/>
    </xf>
    <xf numFmtId="0" fontId="69" fillId="0" borderId="0" xfId="0" applyFont="1" applyFill="1" applyAlignment="1">
      <alignment horizontal="left"/>
    </xf>
    <xf numFmtId="0" fontId="70" fillId="0" borderId="14" xfId="0" applyFont="1" applyFill="1" applyBorder="1" applyAlignment="1">
      <alignment vertical="center"/>
    </xf>
    <xf numFmtId="0" fontId="69" fillId="0" borderId="14" xfId="0" applyFont="1" applyFill="1" applyBorder="1" applyAlignment="1"/>
    <xf numFmtId="0" fontId="70" fillId="0" borderId="0" xfId="0" applyFont="1" applyFill="1" applyBorder="1" applyAlignment="1">
      <alignment vertical="center"/>
    </xf>
    <xf numFmtId="0" fontId="69" fillId="0" borderId="0" xfId="0" applyFont="1" applyFill="1" applyBorder="1" applyAlignment="1">
      <alignment horizontal="right"/>
    </xf>
    <xf numFmtId="0" fontId="82" fillId="0" borderId="0" xfId="0" applyFont="1" applyBorder="1" applyAlignment="1">
      <alignment horizontal="center"/>
    </xf>
    <xf numFmtId="0" fontId="69" fillId="0" borderId="0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horizontal="center" vertical="center"/>
    </xf>
    <xf numFmtId="0" fontId="82" fillId="0" borderId="0" xfId="0" applyFont="1" applyBorder="1" applyAlignment="1">
      <alignment horizontal="left" vertical="center"/>
    </xf>
    <xf numFmtId="0" fontId="70" fillId="0" borderId="0" xfId="0" applyFont="1" applyFill="1" applyAlignment="1">
      <alignment horizontal="left" vertical="center"/>
    </xf>
    <xf numFmtId="0" fontId="69" fillId="0" borderId="0" xfId="0" applyFont="1" applyFill="1" applyAlignment="1" applyProtection="1">
      <protection locked="0"/>
    </xf>
    <xf numFmtId="0" fontId="82" fillId="0" borderId="0" xfId="0" applyFont="1" applyBorder="1" applyAlignment="1" applyProtection="1">
      <alignment horizontal="left"/>
      <protection locked="0"/>
    </xf>
    <xf numFmtId="169" fontId="77" fillId="4" borderId="0" xfId="2" applyNumberFormat="1" applyFont="1" applyFill="1" applyBorder="1" applyAlignment="1" applyProtection="1">
      <alignment horizontal="right"/>
    </xf>
    <xf numFmtId="0" fontId="77" fillId="4" borderId="0" xfId="2" applyFont="1" applyFill="1" applyBorder="1" applyAlignment="1" applyProtection="1">
      <alignment horizontal="right"/>
    </xf>
    <xf numFmtId="0" fontId="77" fillId="4" borderId="0" xfId="2" applyFont="1" applyFill="1" applyBorder="1" applyAlignment="1" applyProtection="1">
      <alignment horizontal="left"/>
    </xf>
    <xf numFmtId="0" fontId="70" fillId="0" borderId="0" xfId="0" applyFont="1" applyFill="1" applyAlignment="1">
      <alignment horizontal="center" vertical="center"/>
    </xf>
    <xf numFmtId="0" fontId="83" fillId="0" borderId="0" xfId="0" applyFont="1" applyBorder="1" applyAlignment="1">
      <alignment horizontal="center" vertical="center"/>
    </xf>
    <xf numFmtId="0" fontId="84" fillId="0" borderId="0" xfId="17" applyFont="1" applyAlignment="1">
      <alignment horizontal="center"/>
    </xf>
    <xf numFmtId="0" fontId="86" fillId="0" borderId="0" xfId="17" applyFont="1" applyFill="1" applyAlignment="1">
      <alignment vertical="center"/>
    </xf>
    <xf numFmtId="0" fontId="70" fillId="0" borderId="0" xfId="17" applyFont="1" applyFill="1" applyAlignment="1">
      <alignment vertical="center"/>
    </xf>
    <xf numFmtId="0" fontId="70" fillId="0" borderId="0" xfId="17" applyFont="1" applyFill="1" applyBorder="1" applyAlignment="1">
      <alignment vertical="center"/>
    </xf>
    <xf numFmtId="0" fontId="86" fillId="0" borderId="0" xfId="17" applyFont="1" applyFill="1" applyBorder="1" applyAlignment="1">
      <alignment vertical="center"/>
    </xf>
    <xf numFmtId="2" fontId="70" fillId="0" borderId="0" xfId="21" applyNumberFormat="1" applyFont="1" applyFill="1" applyBorder="1" applyAlignment="1">
      <alignment horizontal="center" vertical="center"/>
    </xf>
    <xf numFmtId="2" fontId="70" fillId="0" borderId="14" xfId="21" applyNumberFormat="1" applyFont="1" applyFill="1" applyBorder="1" applyAlignment="1">
      <alignment horizontal="center" vertical="center"/>
    </xf>
    <xf numFmtId="2" fontId="70" fillId="0" borderId="14" xfId="0" applyNumberFormat="1" applyFont="1" applyFill="1" applyBorder="1" applyAlignment="1">
      <alignment horizontal="center" vertical="center"/>
    </xf>
    <xf numFmtId="169" fontId="88" fillId="0" borderId="0" xfId="0" applyNumberFormat="1" applyFont="1" applyFill="1" applyBorder="1" applyAlignment="1">
      <alignment horizontal="center" vertical="center"/>
    </xf>
    <xf numFmtId="181" fontId="89" fillId="0" borderId="0" xfId="17" applyNumberFormat="1" applyFont="1" applyFill="1" applyBorder="1" applyAlignment="1">
      <alignment horizontal="center" vertical="center"/>
    </xf>
    <xf numFmtId="170" fontId="90" fillId="0" borderId="0" xfId="0" applyNumberFormat="1" applyFont="1" applyFill="1" applyBorder="1" applyAlignment="1" applyProtection="1">
      <alignment horizontal="center" vertical="center"/>
      <protection locked="0"/>
    </xf>
    <xf numFmtId="170" fontId="70" fillId="0" borderId="0" xfId="17" applyNumberFormat="1" applyFont="1" applyFill="1" applyBorder="1" applyAlignment="1">
      <alignment horizontal="center" vertical="center"/>
    </xf>
    <xf numFmtId="172" fontId="70" fillId="0" borderId="0" xfId="17" applyNumberFormat="1" applyFont="1" applyFill="1" applyBorder="1" applyAlignment="1">
      <alignment horizontal="center" vertical="center"/>
    </xf>
    <xf numFmtId="0" fontId="84" fillId="0" borderId="0" xfId="17" applyFont="1" applyBorder="1" applyAlignment="1">
      <alignment horizontal="center"/>
    </xf>
    <xf numFmtId="0" fontId="91" fillId="0" borderId="0" xfId="0" applyFont="1" applyBorder="1"/>
    <xf numFmtId="0" fontId="91" fillId="0" borderId="0" xfId="0" applyFont="1"/>
    <xf numFmtId="0" fontId="77" fillId="4" borderId="0" xfId="2" applyFont="1" applyFill="1" applyProtection="1"/>
    <xf numFmtId="0" fontId="76" fillId="4" borderId="0" xfId="2" applyFont="1" applyFill="1" applyProtection="1"/>
    <xf numFmtId="0" fontId="78" fillId="4" borderId="0" xfId="2" applyFont="1" applyFill="1" applyProtection="1"/>
    <xf numFmtId="169" fontId="83" fillId="0" borderId="0" xfId="17" applyNumberFormat="1" applyFont="1" applyBorder="1" applyAlignment="1">
      <alignment vertical="center"/>
    </xf>
    <xf numFmtId="169" fontId="70" fillId="0" borderId="0" xfId="17" applyNumberFormat="1" applyFont="1" applyFill="1" applyBorder="1" applyAlignment="1">
      <alignment vertical="center"/>
    </xf>
    <xf numFmtId="168" fontId="70" fillId="0" borderId="0" xfId="17" applyNumberFormat="1" applyFont="1" applyFill="1" applyBorder="1" applyAlignment="1">
      <alignment vertical="center"/>
    </xf>
    <xf numFmtId="0" fontId="92" fillId="0" borderId="0" xfId="0" applyFont="1" applyAlignment="1">
      <alignment vertical="center"/>
    </xf>
    <xf numFmtId="0" fontId="92" fillId="0" borderId="0" xfId="1" applyFont="1" applyBorder="1" applyAlignment="1">
      <alignment vertical="center"/>
    </xf>
    <xf numFmtId="0" fontId="93" fillId="0" borderId="0" xfId="0" applyFont="1"/>
    <xf numFmtId="0" fontId="79" fillId="15" borderId="10" xfId="2" applyFont="1" applyFill="1" applyBorder="1" applyAlignment="1" applyProtection="1">
      <alignment vertical="center"/>
    </xf>
    <xf numFmtId="0" fontId="79" fillId="15" borderId="2" xfId="2" applyFont="1" applyFill="1" applyBorder="1" applyAlignment="1" applyProtection="1">
      <alignment vertical="center"/>
    </xf>
    <xf numFmtId="0" fontId="79" fillId="15" borderId="11" xfId="2" applyFont="1" applyFill="1" applyBorder="1" applyAlignment="1" applyProtection="1">
      <alignment vertical="center"/>
    </xf>
    <xf numFmtId="0" fontId="77" fillId="4" borderId="0" xfId="2" applyFont="1" applyFill="1" applyBorder="1" applyAlignment="1" applyProtection="1"/>
    <xf numFmtId="0" fontId="77" fillId="4" borderId="6" xfId="2" applyFont="1" applyFill="1" applyBorder="1" applyAlignment="1" applyProtection="1"/>
    <xf numFmtId="0" fontId="77" fillId="4" borderId="0" xfId="2" applyFont="1" applyFill="1" applyAlignment="1" applyProtection="1">
      <alignment vertical="center"/>
    </xf>
    <xf numFmtId="0" fontId="77" fillId="4" borderId="1" xfId="2" applyFont="1" applyFill="1" applyBorder="1" applyAlignment="1" applyProtection="1"/>
    <xf numFmtId="0" fontId="77" fillId="4" borderId="5" xfId="2" applyFont="1" applyFill="1" applyBorder="1" applyAlignment="1" applyProtection="1"/>
    <xf numFmtId="181" fontId="89" fillId="0" borderId="3" xfId="17" applyNumberFormat="1" applyFont="1" applyFill="1" applyBorder="1" applyAlignment="1">
      <alignment horizontal="center" vertical="center"/>
    </xf>
    <xf numFmtId="170" fontId="90" fillId="0" borderId="3" xfId="0" applyNumberFormat="1" applyFont="1" applyFill="1" applyBorder="1" applyAlignment="1">
      <alignment horizontal="center" vertical="center"/>
    </xf>
    <xf numFmtId="2" fontId="70" fillId="0" borderId="3" xfId="0" applyNumberFormat="1" applyFont="1" applyFill="1" applyBorder="1" applyAlignment="1">
      <alignment horizontal="center" vertical="center"/>
    </xf>
    <xf numFmtId="170" fontId="90" fillId="0" borderId="3" xfId="0" applyNumberFormat="1" applyFont="1" applyFill="1" applyBorder="1" applyAlignment="1" applyProtection="1">
      <alignment horizontal="center" vertical="center"/>
      <protection locked="0"/>
    </xf>
    <xf numFmtId="0" fontId="70" fillId="0" borderId="3" xfId="0" applyFont="1" applyFill="1" applyBorder="1" applyAlignment="1">
      <alignment horizontal="center" vertical="center"/>
    </xf>
    <xf numFmtId="169" fontId="88" fillId="0" borderId="3" xfId="0" applyNumberFormat="1" applyFont="1" applyFill="1" applyBorder="1" applyAlignment="1">
      <alignment horizontal="center" vertical="center"/>
    </xf>
    <xf numFmtId="0" fontId="70" fillId="0" borderId="3" xfId="17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left" vertical="center"/>
    </xf>
    <xf numFmtId="14" fontId="69" fillId="0" borderId="1" xfId="0" applyNumberFormat="1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left" vertical="center"/>
    </xf>
    <xf numFmtId="0" fontId="69" fillId="0" borderId="1" xfId="0" applyFont="1" applyFill="1" applyBorder="1" applyAlignment="1">
      <alignment horizontal="left"/>
    </xf>
    <xf numFmtId="0" fontId="68" fillId="11" borderId="0" xfId="16" applyFont="1" applyFill="1" applyBorder="1" applyAlignment="1">
      <alignment horizontal="center" vertical="center"/>
    </xf>
    <xf numFmtId="0" fontId="71" fillId="12" borderId="0" xfId="16" applyFont="1" applyFill="1" applyBorder="1" applyAlignment="1">
      <alignment horizontal="center" vertical="center"/>
    </xf>
    <xf numFmtId="0" fontId="75" fillId="13" borderId="0" xfId="16" applyFont="1" applyFill="1" applyBorder="1" applyAlignment="1">
      <alignment horizontal="center" vertical="center"/>
    </xf>
    <xf numFmtId="0" fontId="69" fillId="0" borderId="1" xfId="16" applyFont="1" applyFill="1" applyBorder="1" applyAlignment="1">
      <alignment horizontal="left"/>
    </xf>
    <xf numFmtId="179" fontId="69" fillId="0" borderId="1" xfId="16" applyNumberFormat="1" applyFont="1" applyFill="1" applyBorder="1" applyAlignment="1">
      <alignment horizontal="left"/>
    </xf>
    <xf numFmtId="179" fontId="69" fillId="0" borderId="2" xfId="16" applyNumberFormat="1" applyFont="1" applyFill="1" applyBorder="1" applyAlignment="1">
      <alignment horizontal="left"/>
    </xf>
    <xf numFmtId="0" fontId="69" fillId="0" borderId="2" xfId="16" applyFont="1" applyFill="1" applyBorder="1" applyAlignment="1">
      <alignment horizontal="center"/>
    </xf>
    <xf numFmtId="0" fontId="70" fillId="0" borderId="2" xfId="0" applyFont="1" applyFill="1" applyBorder="1" applyAlignment="1" applyProtection="1">
      <alignment horizontal="left" vertical="center"/>
      <protection locked="0"/>
    </xf>
    <xf numFmtId="0" fontId="69" fillId="0" borderId="2" xfId="0" applyFont="1" applyFill="1" applyBorder="1" applyAlignment="1">
      <alignment horizontal="left"/>
    </xf>
    <xf numFmtId="0" fontId="69" fillId="0" borderId="0" xfId="0" applyFont="1" applyFill="1" applyBorder="1" applyAlignment="1">
      <alignment horizontal="left"/>
    </xf>
    <xf numFmtId="0" fontId="70" fillId="0" borderId="1" xfId="0" applyFont="1" applyFill="1" applyBorder="1" applyAlignment="1">
      <alignment horizontal="left"/>
    </xf>
    <xf numFmtId="0" fontId="69" fillId="0" borderId="14" xfId="0" applyFont="1" applyFill="1" applyBorder="1" applyAlignment="1">
      <alignment horizontal="center"/>
    </xf>
    <xf numFmtId="0" fontId="69" fillId="0" borderId="2" xfId="0" applyFont="1" applyFill="1" applyBorder="1" applyAlignment="1" applyProtection="1">
      <alignment horizontal="left"/>
      <protection locked="0"/>
    </xf>
    <xf numFmtId="0" fontId="70" fillId="0" borderId="13" xfId="0" applyFont="1" applyFill="1" applyBorder="1" applyAlignment="1">
      <alignment horizontal="center" vertical="center"/>
    </xf>
    <xf numFmtId="0" fontId="70" fillId="0" borderId="14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170" fontId="70" fillId="0" borderId="0" xfId="17" applyNumberFormat="1" applyFont="1" applyFill="1" applyBorder="1" applyAlignment="1">
      <alignment horizontal="center" vertical="center"/>
    </xf>
    <xf numFmtId="172" fontId="70" fillId="0" borderId="0" xfId="17" applyNumberFormat="1" applyFont="1" applyFill="1" applyBorder="1" applyAlignment="1">
      <alignment horizontal="center" vertical="center"/>
    </xf>
    <xf numFmtId="0" fontId="70" fillId="0" borderId="0" xfId="17" applyFont="1" applyFill="1" applyBorder="1" applyAlignment="1">
      <alignment horizontal="center" vertical="center"/>
    </xf>
    <xf numFmtId="0" fontId="87" fillId="14" borderId="0" xfId="17" applyFont="1" applyFill="1" applyBorder="1" applyAlignment="1">
      <alignment horizontal="center" vertical="center"/>
    </xf>
    <xf numFmtId="14" fontId="69" fillId="0" borderId="2" xfId="0" applyNumberFormat="1" applyFont="1" applyFill="1" applyBorder="1" applyAlignment="1">
      <alignment horizontal="left" vertical="center"/>
    </xf>
    <xf numFmtId="0" fontId="69" fillId="0" borderId="2" xfId="0" applyFont="1" applyFill="1" applyBorder="1" applyAlignment="1">
      <alignment horizontal="center"/>
    </xf>
    <xf numFmtId="0" fontId="81" fillId="0" borderId="0" xfId="0" applyFont="1" applyFill="1" applyBorder="1" applyAlignment="1">
      <alignment horizontal="left"/>
    </xf>
    <xf numFmtId="0" fontId="69" fillId="16" borderId="3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/>
    </xf>
    <xf numFmtId="0" fontId="77" fillId="4" borderId="0" xfId="2" applyFont="1" applyFill="1" applyBorder="1" applyAlignment="1" applyProtection="1">
      <alignment horizontal="left"/>
    </xf>
    <xf numFmtId="169" fontId="77" fillId="4" borderId="0" xfId="2" applyNumberFormat="1" applyFont="1" applyFill="1" applyBorder="1" applyAlignment="1" applyProtection="1">
      <alignment horizontal="right"/>
    </xf>
    <xf numFmtId="0" fontId="77" fillId="4" borderId="0" xfId="2" applyFont="1" applyFill="1" applyBorder="1" applyAlignment="1" applyProtection="1">
      <alignment horizontal="right"/>
    </xf>
    <xf numFmtId="0" fontId="85" fillId="0" borderId="1" xfId="0" applyFont="1" applyFill="1" applyBorder="1" applyAlignment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70" fillId="14" borderId="0" xfId="17" applyFont="1" applyFill="1" applyBorder="1" applyAlignment="1">
      <alignment horizontal="center" vertical="center"/>
    </xf>
    <xf numFmtId="0" fontId="80" fillId="15" borderId="0" xfId="2" applyFont="1" applyFill="1" applyBorder="1" applyAlignment="1" applyProtection="1">
      <alignment horizontal="center" vertical="center"/>
    </xf>
    <xf numFmtId="0" fontId="79" fillId="15" borderId="0" xfId="2" applyFont="1" applyFill="1" applyBorder="1" applyAlignment="1" applyProtection="1">
      <alignment horizontal="center" vertical="center"/>
    </xf>
    <xf numFmtId="180" fontId="85" fillId="0" borderId="1" xfId="21" applyNumberFormat="1" applyFont="1" applyFill="1" applyBorder="1" applyAlignment="1">
      <alignment horizontal="center" vertical="center"/>
    </xf>
    <xf numFmtId="180" fontId="85" fillId="0" borderId="0" xfId="21" applyNumberFormat="1" applyFont="1" applyFill="1" applyBorder="1" applyAlignment="1">
      <alignment horizontal="center" vertical="center"/>
    </xf>
    <xf numFmtId="2" fontId="70" fillId="0" borderId="3" xfId="21" applyNumberFormat="1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70" fillId="0" borderId="5" xfId="0" applyFont="1" applyFill="1" applyBorder="1" applyAlignment="1">
      <alignment horizontal="center" vertical="center"/>
    </xf>
    <xf numFmtId="169" fontId="77" fillId="4" borderId="13" xfId="2" applyNumberFormat="1" applyFont="1" applyFill="1" applyBorder="1" applyAlignment="1" applyProtection="1">
      <alignment horizontal="right"/>
    </xf>
    <xf numFmtId="0" fontId="77" fillId="4" borderId="14" xfId="2" applyFont="1" applyFill="1" applyBorder="1" applyAlignment="1" applyProtection="1">
      <alignment horizontal="right"/>
    </xf>
    <xf numFmtId="0" fontId="77" fillId="4" borderId="2" xfId="2" applyFont="1" applyFill="1" applyBorder="1" applyAlignment="1" applyProtection="1">
      <alignment horizontal="left"/>
    </xf>
    <xf numFmtId="0" fontId="77" fillId="4" borderId="11" xfId="2" applyFont="1" applyFill="1" applyBorder="1" applyAlignment="1" applyProtection="1">
      <alignment horizontal="left"/>
    </xf>
    <xf numFmtId="0" fontId="79" fillId="15" borderId="13" xfId="2" applyFont="1" applyFill="1" applyBorder="1" applyAlignment="1" applyProtection="1">
      <alignment horizontal="center" vertical="center"/>
    </xf>
    <xf numFmtId="0" fontId="79" fillId="15" borderId="14" xfId="2" applyFont="1" applyFill="1" applyBorder="1" applyAlignment="1" applyProtection="1">
      <alignment horizontal="center" vertical="center"/>
    </xf>
    <xf numFmtId="0" fontId="79" fillId="15" borderId="12" xfId="2" applyFont="1" applyFill="1" applyBorder="1" applyAlignment="1" applyProtection="1">
      <alignment horizontal="center" vertical="center"/>
    </xf>
    <xf numFmtId="0" fontId="86" fillId="0" borderId="1" xfId="17" applyFont="1" applyFill="1" applyBorder="1" applyAlignment="1">
      <alignment horizontal="left" vertical="center"/>
    </xf>
    <xf numFmtId="169" fontId="77" fillId="4" borderId="10" xfId="2" applyNumberFormat="1" applyFont="1" applyFill="1" applyBorder="1" applyAlignment="1" applyProtection="1">
      <alignment horizontal="right"/>
    </xf>
    <xf numFmtId="0" fontId="77" fillId="4" borderId="2" xfId="2" applyFont="1" applyFill="1" applyBorder="1" applyAlignment="1" applyProtection="1">
      <alignment horizontal="right"/>
    </xf>
    <xf numFmtId="169" fontId="76" fillId="4" borderId="15" xfId="2" applyNumberFormat="1" applyFont="1" applyFill="1" applyBorder="1" applyAlignment="1" applyProtection="1">
      <alignment horizontal="center"/>
    </xf>
    <xf numFmtId="169" fontId="76" fillId="4" borderId="0" xfId="2" applyNumberFormat="1" applyFont="1" applyFill="1" applyBorder="1" applyAlignment="1" applyProtection="1">
      <alignment horizontal="center"/>
    </xf>
    <xf numFmtId="169" fontId="77" fillId="4" borderId="15" xfId="2" applyNumberFormat="1" applyFont="1" applyFill="1" applyBorder="1" applyAlignment="1" applyProtection="1">
      <alignment horizontal="center"/>
    </xf>
    <xf numFmtId="169" fontId="77" fillId="4" borderId="0" xfId="2" applyNumberFormat="1" applyFont="1" applyFill="1" applyBorder="1" applyAlignment="1" applyProtection="1">
      <alignment horizontal="center"/>
    </xf>
    <xf numFmtId="169" fontId="77" fillId="4" borderId="4" xfId="2" applyNumberFormat="1" applyFont="1" applyFill="1" applyBorder="1" applyAlignment="1" applyProtection="1">
      <alignment horizontal="center"/>
    </xf>
    <xf numFmtId="169" fontId="77" fillId="4" borderId="1" xfId="2" applyNumberFormat="1" applyFont="1" applyFill="1" applyBorder="1" applyAlignment="1" applyProtection="1">
      <alignment horizontal="center"/>
    </xf>
    <xf numFmtId="169" fontId="77" fillId="4" borderId="6" xfId="2" applyNumberFormat="1" applyFont="1" applyFill="1" applyBorder="1" applyAlignment="1" applyProtection="1">
      <alignment horizontal="center"/>
    </xf>
    <xf numFmtId="169" fontId="77" fillId="4" borderId="5" xfId="2" applyNumberFormat="1" applyFont="1" applyFill="1" applyBorder="1" applyAlignment="1" applyProtection="1">
      <alignment horizontal="center"/>
    </xf>
    <xf numFmtId="169" fontId="76" fillId="4" borderId="6" xfId="2" applyNumberFormat="1" applyFont="1" applyFill="1" applyBorder="1" applyAlignment="1" applyProtection="1">
      <alignment horizontal="center"/>
    </xf>
    <xf numFmtId="2" fontId="77" fillId="4" borderId="15" xfId="2" applyNumberFormat="1" applyFont="1" applyFill="1" applyBorder="1" applyAlignment="1" applyProtection="1">
      <alignment horizontal="center"/>
      <protection locked="0"/>
    </xf>
    <xf numFmtId="2" fontId="77" fillId="4" borderId="0" xfId="2" applyNumberFormat="1" applyFont="1" applyFill="1" applyBorder="1" applyAlignment="1" applyProtection="1">
      <alignment horizontal="center"/>
      <protection locked="0"/>
    </xf>
    <xf numFmtId="2" fontId="77" fillId="4" borderId="4" xfId="2" applyNumberFormat="1" applyFont="1" applyFill="1" applyBorder="1" applyAlignment="1" applyProtection="1">
      <alignment horizontal="center"/>
      <protection locked="0"/>
    </xf>
    <xf numFmtId="2" fontId="77" fillId="4" borderId="1" xfId="2" applyNumberFormat="1" applyFont="1" applyFill="1" applyBorder="1" applyAlignment="1" applyProtection="1">
      <alignment horizontal="center"/>
      <protection locked="0"/>
    </xf>
    <xf numFmtId="169" fontId="76" fillId="4" borderId="4" xfId="2" applyNumberFormat="1" applyFont="1" applyFill="1" applyBorder="1" applyAlignment="1" applyProtection="1">
      <alignment horizontal="center"/>
    </xf>
    <xf numFmtId="169" fontId="76" fillId="4" borderId="5" xfId="2" applyNumberFormat="1" applyFont="1" applyFill="1" applyBorder="1" applyAlignment="1" applyProtection="1">
      <alignment horizontal="center"/>
    </xf>
    <xf numFmtId="0" fontId="80" fillId="15" borderId="13" xfId="2" applyFont="1" applyFill="1" applyBorder="1" applyAlignment="1" applyProtection="1">
      <alignment horizontal="center" vertical="center"/>
    </xf>
    <xf numFmtId="0" fontId="80" fillId="15" borderId="14" xfId="2" applyFont="1" applyFill="1" applyBorder="1" applyAlignment="1" applyProtection="1">
      <alignment horizontal="center" vertical="center"/>
    </xf>
    <xf numFmtId="0" fontId="80" fillId="15" borderId="12" xfId="2" applyFont="1" applyFill="1" applyBorder="1" applyAlignment="1" applyProtection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2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39" fillId="0" borderId="0" xfId="1" quotePrefix="1" applyFont="1" applyBorder="1" applyAlignment="1">
      <alignment horizontal="center" vertical="center" shrinkToFit="1"/>
    </xf>
    <xf numFmtId="0" fontId="61" fillId="0" borderId="0" xfId="1" applyFont="1" applyAlignment="1">
      <alignment horizontal="center" vertical="center"/>
    </xf>
    <xf numFmtId="1" fontId="63" fillId="0" borderId="0" xfId="2" quotePrefix="1" applyNumberFormat="1" applyFont="1" applyBorder="1" applyAlignment="1">
      <alignment horizontal="left" vertical="center"/>
    </xf>
    <xf numFmtId="0" fontId="63" fillId="0" borderId="0" xfId="1" applyFont="1" applyBorder="1" applyAlignment="1">
      <alignment horizontal="center" vertical="center"/>
    </xf>
    <xf numFmtId="0" fontId="63" fillId="0" borderId="0" xfId="1" applyFont="1" applyAlignment="1">
      <alignment horizontal="center" vertical="center"/>
    </xf>
    <xf numFmtId="173" fontId="63" fillId="0" borderId="0" xfId="2" quotePrefix="1" applyNumberFormat="1" applyFont="1" applyBorder="1" applyAlignment="1">
      <alignment horizontal="left" vertical="center"/>
    </xf>
    <xf numFmtId="173" fontId="63" fillId="0" borderId="0" xfId="2" applyNumberFormat="1" applyFont="1" applyBorder="1" applyAlignment="1">
      <alignment horizontal="left" vertical="center"/>
    </xf>
    <xf numFmtId="173" fontId="63" fillId="0" borderId="0" xfId="1" applyNumberFormat="1" applyFont="1" applyAlignment="1">
      <alignment horizontal="left" vertical="center"/>
    </xf>
    <xf numFmtId="0" fontId="11" fillId="0" borderId="10" xfId="1" applyFont="1" applyBorder="1" applyAlignment="1">
      <alignment horizontal="center" vertical="center"/>
    </xf>
    <xf numFmtId="0" fontId="57" fillId="0" borderId="2" xfId="1" applyFont="1" applyBorder="1" applyAlignment="1">
      <alignment horizontal="center" vertical="center"/>
    </xf>
    <xf numFmtId="0" fontId="11" fillId="0" borderId="10" xfId="1" quotePrefix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179" fontId="11" fillId="0" borderId="10" xfId="1" quotePrefix="1" applyNumberFormat="1" applyFont="1" applyBorder="1" applyAlignment="1">
      <alignment horizontal="center" vertical="center"/>
    </xf>
    <xf numFmtId="179" fontId="11" fillId="0" borderId="2" xfId="1" applyNumberFormat="1" applyFont="1" applyBorder="1" applyAlignment="1">
      <alignment horizontal="center" vertical="center"/>
    </xf>
    <xf numFmtId="179" fontId="11" fillId="0" borderId="11" xfId="1" applyNumberFormat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5" fillId="0" borderId="10" xfId="1" applyFont="1" applyBorder="1" applyAlignment="1">
      <alignment horizontal="center" vertical="center"/>
    </xf>
    <xf numFmtId="0" fontId="45" fillId="0" borderId="2" xfId="1" applyFont="1" applyBorder="1" applyAlignment="1">
      <alignment horizontal="center" vertical="center"/>
    </xf>
    <xf numFmtId="0" fontId="45" fillId="0" borderId="11" xfId="1" applyFont="1" applyBorder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176" fontId="11" fillId="0" borderId="0" xfId="2" applyNumberFormat="1" applyFont="1" applyBorder="1" applyAlignment="1">
      <alignment horizontal="left" vertical="center"/>
    </xf>
    <xf numFmtId="178" fontId="2" fillId="0" borderId="0" xfId="1" applyNumberFormat="1" applyFont="1" applyBorder="1" applyAlignment="1">
      <alignment horizontal="left" vertical="center"/>
    </xf>
    <xf numFmtId="0" fontId="49" fillId="0" borderId="0" xfId="1" applyFont="1" applyBorder="1" applyAlignment="1">
      <alignment horizontal="right" vertical="center"/>
    </xf>
    <xf numFmtId="0" fontId="2" fillId="0" borderId="0" xfId="1" applyFont="1" applyBorder="1" applyAlignment="1">
      <alignment horizontal="center" vertical="center"/>
    </xf>
    <xf numFmtId="0" fontId="11" fillId="0" borderId="0" xfId="8" applyNumberFormat="1" applyFont="1" applyBorder="1" applyAlignment="1">
      <alignment horizontal="center" vertical="center" shrinkToFit="1"/>
    </xf>
    <xf numFmtId="169" fontId="11" fillId="0" borderId="15" xfId="2" applyNumberFormat="1" applyFont="1" applyFill="1" applyBorder="1" applyAlignment="1" applyProtection="1">
      <alignment horizontal="center" vertical="center"/>
    </xf>
    <xf numFmtId="169" fontId="11" fillId="0" borderId="0" xfId="2" applyNumberFormat="1" applyFont="1" applyFill="1" applyBorder="1" applyAlignment="1" applyProtection="1">
      <alignment horizontal="center" vertical="center"/>
    </xf>
    <xf numFmtId="169" fontId="11" fillId="0" borderId="6" xfId="2" applyNumberFormat="1" applyFont="1" applyFill="1" applyBorder="1" applyAlignment="1" applyProtection="1">
      <alignment horizontal="center" vertical="center"/>
    </xf>
    <xf numFmtId="169" fontId="11" fillId="0" borderId="4" xfId="2" applyNumberFormat="1" applyFont="1" applyFill="1" applyBorder="1" applyAlignment="1" applyProtection="1">
      <alignment horizontal="center" vertical="center"/>
    </xf>
    <xf numFmtId="169" fontId="11" fillId="0" borderId="1" xfId="2" applyNumberFormat="1" applyFont="1" applyFill="1" applyBorder="1" applyAlignment="1" applyProtection="1">
      <alignment horizontal="center" vertical="center"/>
    </xf>
    <xf numFmtId="169" fontId="11" fillId="0" borderId="5" xfId="2" applyNumberFormat="1" applyFont="1" applyFill="1" applyBorder="1" applyAlignment="1" applyProtection="1">
      <alignment horizontal="center" vertical="center"/>
    </xf>
    <xf numFmtId="2" fontId="11" fillId="0" borderId="15" xfId="2" applyNumberFormat="1" applyFont="1" applyFill="1" applyBorder="1" applyAlignment="1" applyProtection="1">
      <alignment horizontal="center" vertical="center"/>
    </xf>
    <xf numFmtId="2" fontId="11" fillId="0" borderId="0" xfId="2" applyNumberFormat="1" applyFont="1" applyFill="1" applyBorder="1" applyAlignment="1" applyProtection="1">
      <alignment horizontal="center" vertical="center"/>
    </xf>
    <xf numFmtId="2" fontId="11" fillId="0" borderId="6" xfId="2" applyNumberFormat="1" applyFont="1" applyFill="1" applyBorder="1" applyAlignment="1" applyProtection="1">
      <alignment horizontal="center" vertical="center"/>
    </xf>
    <xf numFmtId="2" fontId="11" fillId="0" borderId="4" xfId="2" applyNumberFormat="1" applyFont="1" applyFill="1" applyBorder="1" applyAlignment="1" applyProtection="1">
      <alignment horizontal="center" vertical="center"/>
    </xf>
    <xf numFmtId="2" fontId="11" fillId="0" borderId="1" xfId="2" applyNumberFormat="1" applyFont="1" applyFill="1" applyBorder="1" applyAlignment="1" applyProtection="1">
      <alignment horizontal="center" vertical="center"/>
    </xf>
    <xf numFmtId="2" fontId="11" fillId="0" borderId="5" xfId="2" applyNumberFormat="1" applyFont="1" applyFill="1" applyBorder="1" applyAlignment="1" applyProtection="1">
      <alignment horizontal="center" vertical="center"/>
    </xf>
    <xf numFmtId="0" fontId="11" fillId="0" borderId="0" xfId="17" quotePrefix="1" applyNumberFormat="1" applyFont="1" applyBorder="1" applyAlignment="1">
      <alignment horizontal="center" vertical="center"/>
    </xf>
    <xf numFmtId="1" fontId="11" fillId="0" borderId="4" xfId="2" applyNumberFormat="1" applyFont="1" applyFill="1" applyBorder="1" applyAlignment="1" applyProtection="1">
      <alignment horizontal="center" vertical="center"/>
    </xf>
    <xf numFmtId="1" fontId="11" fillId="0" borderId="1" xfId="2" applyNumberFormat="1" applyFont="1" applyFill="1" applyBorder="1" applyAlignment="1" applyProtection="1">
      <alignment horizontal="center" vertical="center"/>
    </xf>
    <xf numFmtId="1" fontId="11" fillId="0" borderId="5" xfId="2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3" xfId="2" applyFont="1" applyFill="1" applyBorder="1" applyAlignment="1" applyProtection="1">
      <alignment horizontal="center" vertical="center" wrapText="1"/>
    </xf>
    <xf numFmtId="0" fontId="11" fillId="0" borderId="14" xfId="2" applyFont="1" applyFill="1" applyBorder="1" applyAlignment="1" applyProtection="1">
      <alignment horizontal="center" vertical="center" wrapText="1"/>
    </xf>
    <xf numFmtId="0" fontId="11" fillId="0" borderId="12" xfId="2" applyFont="1" applyFill="1" applyBorder="1" applyAlignment="1" applyProtection="1">
      <alignment horizontal="center" vertical="center" wrapText="1"/>
    </xf>
    <xf numFmtId="0" fontId="11" fillId="0" borderId="4" xfId="2" applyFont="1" applyFill="1" applyBorder="1" applyAlignment="1" applyProtection="1">
      <alignment horizontal="center" vertical="center" wrapText="1"/>
    </xf>
    <xf numFmtId="0" fontId="11" fillId="0" borderId="1" xfId="2" applyFont="1" applyFill="1" applyBorder="1" applyAlignment="1" applyProtection="1">
      <alignment horizontal="center" vertical="center" wrapText="1"/>
    </xf>
    <xf numFmtId="0" fontId="11" fillId="0" borderId="5" xfId="2" applyFont="1" applyFill="1" applyBorder="1" applyAlignment="1" applyProtection="1">
      <alignment horizontal="center" vertical="center" wrapText="1"/>
    </xf>
    <xf numFmtId="1" fontId="11" fillId="0" borderId="15" xfId="2" applyNumberFormat="1" applyFont="1" applyFill="1" applyBorder="1" applyAlignment="1" applyProtection="1">
      <alignment horizontal="center" vertical="center"/>
    </xf>
    <xf numFmtId="1" fontId="11" fillId="0" borderId="0" xfId="2" applyNumberFormat="1" applyFont="1" applyFill="1" applyBorder="1" applyAlignment="1" applyProtection="1">
      <alignment horizontal="center" vertical="center"/>
    </xf>
    <xf numFmtId="1" fontId="11" fillId="0" borderId="6" xfId="2" applyNumberFormat="1" applyFont="1" applyFill="1" applyBorder="1" applyAlignment="1" applyProtection="1">
      <alignment horizontal="center" vertical="center"/>
    </xf>
    <xf numFmtId="1" fontId="11" fillId="0" borderId="13" xfId="2" applyNumberFormat="1" applyFont="1" applyFill="1" applyBorder="1" applyAlignment="1" applyProtection="1">
      <alignment horizontal="center" vertical="center"/>
    </xf>
    <xf numFmtId="1" fontId="11" fillId="0" borderId="14" xfId="2" applyNumberFormat="1" applyFont="1" applyFill="1" applyBorder="1" applyAlignment="1" applyProtection="1">
      <alignment horizontal="center" vertical="center"/>
    </xf>
    <xf numFmtId="1" fontId="11" fillId="0" borderId="12" xfId="2" applyNumberFormat="1" applyFont="1" applyFill="1" applyBorder="1" applyAlignment="1" applyProtection="1">
      <alignment horizontal="center" vertical="center"/>
    </xf>
    <xf numFmtId="169" fontId="11" fillId="0" borderId="13" xfId="2" applyNumberFormat="1" applyFont="1" applyFill="1" applyBorder="1" applyAlignment="1" applyProtection="1">
      <alignment horizontal="center" vertical="center"/>
    </xf>
    <xf numFmtId="169" fontId="11" fillId="0" borderId="14" xfId="2" applyNumberFormat="1" applyFont="1" applyFill="1" applyBorder="1" applyAlignment="1" applyProtection="1">
      <alignment horizontal="center" vertical="center"/>
    </xf>
    <xf numFmtId="169" fontId="11" fillId="0" borderId="12" xfId="2" applyNumberFormat="1" applyFont="1" applyFill="1" applyBorder="1" applyAlignment="1" applyProtection="1">
      <alignment horizontal="center" vertical="center"/>
    </xf>
    <xf numFmtId="2" fontId="11" fillId="0" borderId="14" xfId="2" applyNumberFormat="1" applyFont="1" applyFill="1" applyBorder="1" applyAlignment="1" applyProtection="1">
      <alignment horizontal="center" vertical="center"/>
    </xf>
    <xf numFmtId="2" fontId="11" fillId="0" borderId="12" xfId="2" applyNumberFormat="1" applyFont="1" applyFill="1" applyBorder="1" applyAlignment="1" applyProtection="1">
      <alignment horizontal="center" vertical="center"/>
    </xf>
    <xf numFmtId="0" fontId="42" fillId="0" borderId="0" xfId="2" applyNumberFormat="1" applyFont="1" applyBorder="1" applyAlignment="1">
      <alignment horizontal="center" vertical="center"/>
    </xf>
    <xf numFmtId="168" fontId="11" fillId="0" borderId="1" xfId="2" applyNumberFormat="1" applyFont="1" applyBorder="1" applyAlignment="1">
      <alignment horizontal="right"/>
    </xf>
    <xf numFmtId="2" fontId="11" fillId="0" borderId="13" xfId="2" applyNumberFormat="1" applyFont="1" applyFill="1" applyBorder="1" applyAlignment="1" applyProtection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8" fillId="8" borderId="13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13" xfId="9" applyFont="1" applyFill="1" applyBorder="1" applyAlignment="1">
      <alignment horizontal="center" vertical="center"/>
    </xf>
    <xf numFmtId="0" fontId="18" fillId="8" borderId="12" xfId="9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173" fontId="33" fillId="5" borderId="10" xfId="19" applyNumberFormat="1" applyFont="1" applyFill="1" applyBorder="1" applyAlignment="1" applyProtection="1">
      <alignment horizontal="center" vertical="center"/>
      <protection locked="0"/>
    </xf>
    <xf numFmtId="173" fontId="33" fillId="5" borderId="2" xfId="19" applyNumberFormat="1" applyFont="1" applyFill="1" applyBorder="1" applyAlignment="1" applyProtection="1">
      <alignment horizontal="center" vertical="center"/>
      <protection locked="0"/>
    </xf>
    <xf numFmtId="173" fontId="33" fillId="5" borderId="11" xfId="19" applyNumberFormat="1" applyFont="1" applyFill="1" applyBorder="1" applyAlignment="1" applyProtection="1">
      <alignment horizontal="center" vertical="center"/>
      <protection locked="0"/>
    </xf>
    <xf numFmtId="0" fontId="34" fillId="0" borderId="7" xfId="20" applyFont="1" applyFill="1" applyBorder="1" applyAlignment="1">
      <alignment horizontal="center" vertical="center" textRotation="255"/>
    </xf>
    <xf numFmtId="0" fontId="34" fillId="0" borderId="8" xfId="20" applyFont="1" applyFill="1" applyBorder="1" applyAlignment="1">
      <alignment horizontal="center" vertical="center" textRotation="255"/>
    </xf>
    <xf numFmtId="0" fontId="34" fillId="0" borderId="9" xfId="20" applyFont="1" applyFill="1" applyBorder="1" applyAlignment="1">
      <alignment horizontal="center" vertical="center" textRotation="255"/>
    </xf>
    <xf numFmtId="0" fontId="36" fillId="0" borderId="7" xfId="20" applyFont="1" applyFill="1" applyBorder="1" applyAlignment="1">
      <alignment horizontal="center" vertical="center" textRotation="255"/>
    </xf>
    <xf numFmtId="0" fontId="36" fillId="0" borderId="8" xfId="20" applyFont="1" applyFill="1" applyBorder="1" applyAlignment="1">
      <alignment horizontal="center" vertical="center" textRotation="255"/>
    </xf>
    <xf numFmtId="0" fontId="36" fillId="0" borderId="9" xfId="20" applyFont="1" applyFill="1" applyBorder="1" applyAlignment="1">
      <alignment horizontal="center" vertical="center" textRotation="255"/>
    </xf>
    <xf numFmtId="0" fontId="29" fillId="9" borderId="0" xfId="20" applyFont="1" applyFill="1" applyBorder="1" applyAlignment="1">
      <alignment horizontal="center" vertical="center"/>
    </xf>
    <xf numFmtId="0" fontId="29" fillId="9" borderId="6" xfId="20" applyFont="1" applyFill="1" applyBorder="1" applyAlignment="1">
      <alignment horizontal="center" vertical="center"/>
    </xf>
    <xf numFmtId="0" fontId="31" fillId="10" borderId="10" xfId="20" applyFont="1" applyFill="1" applyBorder="1" applyAlignment="1">
      <alignment horizontal="center" vertical="center"/>
    </xf>
    <xf numFmtId="0" fontId="31" fillId="10" borderId="2" xfId="20" applyFont="1" applyFill="1" applyBorder="1" applyAlignment="1">
      <alignment horizontal="center" vertical="center"/>
    </xf>
    <xf numFmtId="0" fontId="31" fillId="10" borderId="11" xfId="20" applyFont="1" applyFill="1" applyBorder="1" applyAlignment="1">
      <alignment horizontal="center" vertical="center"/>
    </xf>
    <xf numFmtId="0" fontId="14" fillId="5" borderId="10" xfId="20" applyFont="1" applyFill="1" applyBorder="1" applyAlignment="1">
      <alignment horizontal="center" vertical="center"/>
    </xf>
    <xf numFmtId="0" fontId="14" fillId="5" borderId="2" xfId="20" applyFont="1" applyFill="1" applyBorder="1" applyAlignment="1">
      <alignment horizontal="center" vertical="center"/>
    </xf>
    <xf numFmtId="0" fontId="14" fillId="5" borderId="11" xfId="20" applyFont="1" applyFill="1" applyBorder="1" applyAlignment="1">
      <alignment horizontal="center" vertical="center"/>
    </xf>
    <xf numFmtId="0" fontId="29" fillId="9" borderId="10" xfId="20" applyFont="1" applyFill="1" applyBorder="1" applyAlignment="1">
      <alignment horizontal="center" vertical="center"/>
    </xf>
    <xf numFmtId="0" fontId="29" fillId="9" borderId="2" xfId="20" applyFont="1" applyFill="1" applyBorder="1" applyAlignment="1">
      <alignment horizontal="center" vertical="center"/>
    </xf>
    <xf numFmtId="0" fontId="29" fillId="9" borderId="11" xfId="20" applyFont="1" applyFill="1" applyBorder="1" applyAlignment="1">
      <alignment horizontal="center" vertical="center"/>
    </xf>
  </cellXfs>
  <cellStyles count="57">
    <cellStyle name="active" xfId="23"/>
    <cellStyle name="Comma" xfId="21" builtinId="3"/>
    <cellStyle name="Comma 2" xfId="4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2"/>
    <cellStyle name="Normal 2 2" xfId="6"/>
    <cellStyle name="Normal 2 2 6" xfId="7"/>
    <cellStyle name="Normal 2 2 7" xfId="14"/>
    <cellStyle name="Normal 2 2 8" xfId="8"/>
    <cellStyle name="Normal 3" xfId="9"/>
    <cellStyle name="Normal 3 2" xfId="20"/>
    <cellStyle name="Normal 4" xfId="1"/>
    <cellStyle name="Normal 4 2" xfId="10"/>
    <cellStyle name="Normal 4 7" xfId="13"/>
    <cellStyle name="Normal 5" xfId="34"/>
    <cellStyle name="Normal 5 2" xfId="35"/>
    <cellStyle name="Normal 5 3" xfId="36"/>
    <cellStyle name="Normal 6" xfId="11"/>
    <cellStyle name="Normal 6 2" xfId="17"/>
    <cellStyle name="Normal 7" xfId="12"/>
    <cellStyle name="Normal 7 2" xfId="18"/>
    <cellStyle name="Normal 8" xfId="37"/>
    <cellStyle name="Normal_Uncertainty Budget" xfId="19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5"/>
    <cellStyle name="ปกติ 2 2" xfId="3"/>
    <cellStyle name="ปกติ 3" xfId="16"/>
    <cellStyle name="ปกติ_2793-01                  Std. Form (Used  HP  3458A)" xfId="51"/>
    <cellStyle name="ปกติ_Cert.(ตัวอย่าง DMM)" xfId="5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3">
    <dxf>
      <fill>
        <patternFill>
          <bgColor rgb="FFFFFF00"/>
        </patternFill>
      </fill>
    </dxf>
    <dxf>
      <numFmt numFmtId="169" formatCode="0.0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171450</xdr:colOff>
          <xdr:row>3</xdr:row>
          <xdr:rowOff>95250</xdr:rowOff>
        </xdr:from>
        <xdr:to>
          <xdr:col>24</xdr:col>
          <xdr:colOff>142875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3</xdr:row>
          <xdr:rowOff>76200</xdr:rowOff>
        </xdr:from>
        <xdr:to>
          <xdr:col>16</xdr:col>
          <xdr:colOff>152400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190500</xdr:colOff>
          <xdr:row>10</xdr:row>
          <xdr:rowOff>38100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190500</xdr:colOff>
          <xdr:row>10</xdr:row>
          <xdr:rowOff>38100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219200" y="11591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28</xdr:row>
      <xdr:rowOff>38100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3825" y="62388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0</xdr:col>
      <xdr:colOff>0</xdr:colOff>
      <xdr:row>29</xdr:row>
      <xdr:rowOff>38100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3825" y="646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Rev.1/+01_Balance%20-%200%20to%20500%20g%20-%2011%20Point%20(2017)%20Rev.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Y%20COM/CMC/02_Machanical/SP-CPM-04-03_Torque%20To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ncertainty Budget"/>
      <sheetName val="Cert of STD"/>
    </sheetNames>
    <sheetDataSet>
      <sheetData sheetId="0"/>
      <sheetData sheetId="1"/>
      <sheetData sheetId="2">
        <row r="6">
          <cell r="E6">
            <v>8.0000000000000004E-4</v>
          </cell>
          <cell r="K6">
            <v>1.6E-2</v>
          </cell>
        </row>
        <row r="7">
          <cell r="K7">
            <v>3.2000000000000001E-2</v>
          </cell>
        </row>
        <row r="8">
          <cell r="K8">
            <v>4.8000000000000001E-2</v>
          </cell>
        </row>
        <row r="10">
          <cell r="E10">
            <v>8.0000000000000004E-4</v>
          </cell>
        </row>
        <row r="11">
          <cell r="Q11">
            <v>2.54</v>
          </cell>
        </row>
        <row r="12">
          <cell r="Q12">
            <v>3.7599999999999993</v>
          </cell>
        </row>
        <row r="13">
          <cell r="Q13">
            <v>4.8</v>
          </cell>
        </row>
        <row r="14">
          <cell r="Q14">
            <v>5.84</v>
          </cell>
        </row>
        <row r="15">
          <cell r="Q15">
            <v>6.8999999999999995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U53"/>
  <sheetViews>
    <sheetView view="pageBreakPreview" topLeftCell="A10" zoomScaleNormal="100" zoomScaleSheetLayoutView="100" workbookViewId="0">
      <selection activeCell="AB28" sqref="AB28:AE28"/>
    </sheetView>
  </sheetViews>
  <sheetFormatPr defaultRowHeight="15"/>
  <cols>
    <col min="1" max="26" width="3" style="278" customWidth="1"/>
    <col min="27" max="31" width="3" style="291" customWidth="1"/>
    <col min="32" max="61" width="2.85546875" style="291" customWidth="1"/>
    <col min="62" max="16384" width="9.140625" style="291"/>
  </cols>
  <sheetData>
    <row r="1" spans="1:47" s="236" customFormat="1" ht="21.75">
      <c r="A1" s="320" t="s">
        <v>21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233" t="s">
        <v>22</v>
      </c>
      <c r="M1" s="233"/>
      <c r="N1" s="233"/>
      <c r="O1" s="233"/>
      <c r="P1" s="234"/>
      <c r="Q1" s="323" t="s">
        <v>84</v>
      </c>
      <c r="R1" s="323"/>
      <c r="S1" s="323"/>
      <c r="T1" s="323"/>
      <c r="U1" s="323"/>
      <c r="V1" s="233"/>
      <c r="W1" s="233"/>
      <c r="X1" s="235"/>
      <c r="Y1" s="233"/>
      <c r="Z1" s="235"/>
      <c r="AB1" s="235" t="s">
        <v>95</v>
      </c>
      <c r="AC1" s="235"/>
      <c r="AD1" s="235"/>
      <c r="AE1" s="237"/>
      <c r="AF1" s="237"/>
      <c r="AG1" s="237"/>
      <c r="AH1" s="238"/>
    </row>
    <row r="2" spans="1:47" s="236" customFormat="1" ht="21.75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235" t="s">
        <v>23</v>
      </c>
      <c r="M2" s="233"/>
      <c r="N2" s="235"/>
      <c r="O2" s="233"/>
      <c r="Q2" s="325">
        <v>42380</v>
      </c>
      <c r="R2" s="325"/>
      <c r="S2" s="325"/>
      <c r="T2" s="325"/>
      <c r="U2" s="325"/>
      <c r="V2" s="235" t="s">
        <v>24</v>
      </c>
      <c r="W2" s="239"/>
      <c r="X2" s="239"/>
      <c r="Y2" s="239"/>
      <c r="AA2" s="324">
        <v>42380</v>
      </c>
      <c r="AB2" s="324"/>
      <c r="AC2" s="324"/>
      <c r="AD2" s="324"/>
      <c r="AE2" s="324"/>
      <c r="AF2" s="237"/>
      <c r="AG2" s="237"/>
      <c r="AH2" s="238"/>
      <c r="AJ2" s="240"/>
    </row>
    <row r="3" spans="1:47" s="236" customFormat="1" ht="21.75">
      <c r="A3" s="321" t="s">
        <v>85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233" t="s">
        <v>27</v>
      </c>
      <c r="M3" s="233"/>
      <c r="N3" s="233"/>
      <c r="O3" s="233"/>
      <c r="P3" s="233"/>
      <c r="R3" s="326">
        <v>23</v>
      </c>
      <c r="S3" s="326"/>
      <c r="T3" s="241" t="s">
        <v>138</v>
      </c>
      <c r="U3" s="326">
        <v>50</v>
      </c>
      <c r="V3" s="326"/>
      <c r="W3" s="242" t="s">
        <v>28</v>
      </c>
      <c r="X3" s="233"/>
      <c r="Y3" s="233"/>
      <c r="Z3" s="233"/>
      <c r="AA3" s="233"/>
      <c r="AB3" s="233"/>
      <c r="AC3" s="233"/>
      <c r="AD3" s="233"/>
      <c r="AE3" s="243"/>
      <c r="AF3" s="243"/>
      <c r="AG3" s="243"/>
      <c r="AH3" s="238"/>
      <c r="AJ3" s="240"/>
    </row>
    <row r="4" spans="1:47" s="236" customFormat="1" ht="21.75">
      <c r="A4" s="322" t="s">
        <v>96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233" t="s">
        <v>86</v>
      </c>
      <c r="M4" s="233"/>
      <c r="N4" s="233"/>
      <c r="O4" s="233"/>
      <c r="P4" s="233"/>
      <c r="R4" s="233" t="s">
        <v>26</v>
      </c>
      <c r="S4" s="233"/>
      <c r="T4" s="233"/>
      <c r="U4" s="233"/>
      <c r="V4" s="233"/>
      <c r="W4" s="233"/>
      <c r="X4" s="233"/>
      <c r="Z4" s="233" t="s">
        <v>29</v>
      </c>
      <c r="AA4" s="233"/>
      <c r="AB4" s="233"/>
      <c r="AC4" s="233"/>
      <c r="AD4" s="233"/>
      <c r="AE4" s="243"/>
      <c r="AF4" s="243"/>
      <c r="AG4" s="243"/>
      <c r="AH4" s="238"/>
      <c r="AJ4" s="240"/>
    </row>
    <row r="5" spans="1:47" s="238" customFormat="1" ht="23.1" customHeight="1">
      <c r="A5" s="244" t="s">
        <v>30</v>
      </c>
      <c r="B5" s="245"/>
      <c r="C5" s="245"/>
      <c r="D5" s="245"/>
      <c r="E5" s="245"/>
      <c r="F5" s="319" t="s">
        <v>87</v>
      </c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19"/>
      <c r="T5" s="319"/>
      <c r="U5" s="319"/>
      <c r="V5" s="319"/>
      <c r="W5" s="319"/>
      <c r="X5" s="319"/>
      <c r="Y5" s="319"/>
      <c r="Z5" s="319"/>
      <c r="AA5" s="319"/>
      <c r="AB5" s="319"/>
      <c r="AC5" s="319"/>
      <c r="AD5" s="246"/>
      <c r="AG5" s="247"/>
      <c r="AH5" s="248"/>
      <c r="AI5" s="248"/>
      <c r="AJ5" s="248"/>
      <c r="AK5" s="248"/>
      <c r="AL5" s="247"/>
      <c r="AM5" s="248"/>
      <c r="AN5" s="248"/>
      <c r="AO5" s="248"/>
      <c r="AP5" s="248"/>
      <c r="AQ5" s="249"/>
      <c r="AR5" s="248"/>
      <c r="AS5" s="248"/>
      <c r="AT5" s="248"/>
      <c r="AU5" s="248"/>
    </row>
    <row r="6" spans="1:47" s="238" customFormat="1" ht="23.1" customHeight="1">
      <c r="A6" s="250" t="s">
        <v>127</v>
      </c>
      <c r="B6" s="251"/>
      <c r="C6" s="251"/>
      <c r="D6" s="251"/>
      <c r="E6" s="251" t="s">
        <v>51</v>
      </c>
      <c r="F6" s="327" t="s">
        <v>135</v>
      </c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  <c r="Z6" s="327"/>
      <c r="AA6" s="327"/>
      <c r="AB6" s="327"/>
      <c r="AC6" s="327"/>
      <c r="AD6" s="246"/>
      <c r="AG6" s="247"/>
      <c r="AH6" s="248"/>
      <c r="AI6" s="248"/>
      <c r="AJ6" s="248"/>
      <c r="AK6" s="248"/>
      <c r="AL6" s="247"/>
      <c r="AM6" s="248"/>
      <c r="AN6" s="248"/>
      <c r="AO6" s="248"/>
      <c r="AP6" s="248"/>
      <c r="AQ6" s="249"/>
      <c r="AR6" s="248"/>
      <c r="AS6" s="248"/>
      <c r="AT6" s="248"/>
      <c r="AU6" s="248"/>
    </row>
    <row r="7" spans="1:47" s="238" customFormat="1" ht="23.1" customHeight="1">
      <c r="A7" s="244" t="s">
        <v>88</v>
      </c>
      <c r="B7" s="245"/>
      <c r="C7" s="245"/>
      <c r="D7" s="245"/>
      <c r="E7" s="245"/>
      <c r="F7" s="328" t="s">
        <v>96</v>
      </c>
      <c r="G7" s="328"/>
      <c r="H7" s="328"/>
      <c r="I7" s="328"/>
      <c r="J7" s="328"/>
      <c r="K7" s="328"/>
      <c r="L7" s="328"/>
      <c r="M7" s="328"/>
      <c r="N7" s="328"/>
      <c r="O7" s="328"/>
      <c r="P7" s="244" t="s">
        <v>31</v>
      </c>
      <c r="Q7" s="245"/>
      <c r="T7" s="319" t="s">
        <v>97</v>
      </c>
      <c r="U7" s="319"/>
      <c r="V7" s="319"/>
      <c r="W7" s="319"/>
      <c r="X7" s="319"/>
      <c r="Y7" s="319"/>
      <c r="Z7" s="319"/>
      <c r="AA7" s="319"/>
      <c r="AB7" s="319"/>
      <c r="AC7" s="319"/>
      <c r="AD7" s="246"/>
      <c r="AG7" s="353"/>
      <c r="AH7" s="353"/>
      <c r="AI7" s="353"/>
      <c r="AJ7" s="353"/>
      <c r="AK7" s="353"/>
      <c r="AL7" s="352"/>
      <c r="AM7" s="352"/>
      <c r="AN7" s="252"/>
      <c r="AO7" s="252"/>
      <c r="AP7" s="252"/>
      <c r="AQ7" s="252"/>
      <c r="AR7" s="252"/>
      <c r="AS7" s="252"/>
      <c r="AT7" s="252"/>
      <c r="AU7" s="252"/>
    </row>
    <row r="8" spans="1:47" s="238" customFormat="1" ht="23.1" customHeight="1">
      <c r="A8" s="244" t="s">
        <v>89</v>
      </c>
      <c r="D8" s="330" t="s">
        <v>98</v>
      </c>
      <c r="E8" s="330"/>
      <c r="F8" s="330"/>
      <c r="G8" s="330"/>
      <c r="H8" s="330"/>
      <c r="I8" s="330"/>
      <c r="J8" s="330"/>
      <c r="K8" s="330"/>
      <c r="L8" s="329" t="s">
        <v>33</v>
      </c>
      <c r="M8" s="329"/>
      <c r="N8" s="329"/>
      <c r="O8" s="330" t="s">
        <v>99</v>
      </c>
      <c r="P8" s="330"/>
      <c r="Q8" s="330"/>
      <c r="R8" s="330"/>
      <c r="S8" s="330"/>
      <c r="T8" s="330"/>
      <c r="U8" s="330"/>
      <c r="V8" s="330"/>
      <c r="W8" s="331" t="s">
        <v>34</v>
      </c>
      <c r="X8" s="331"/>
      <c r="Y8" s="328" t="s">
        <v>100</v>
      </c>
      <c r="Z8" s="328"/>
      <c r="AA8" s="328"/>
      <c r="AB8" s="328"/>
      <c r="AC8" s="328"/>
      <c r="AD8" s="246"/>
      <c r="AE8" s="253"/>
      <c r="AF8" s="253"/>
      <c r="AG8" s="347"/>
      <c r="AH8" s="348"/>
      <c r="AI8" s="348"/>
      <c r="AJ8" s="346"/>
      <c r="AK8" s="346"/>
      <c r="AL8" s="254"/>
      <c r="AM8" s="248"/>
      <c r="AN8" s="255"/>
      <c r="AO8" s="256"/>
      <c r="AP8" s="256"/>
      <c r="AQ8" s="256"/>
      <c r="AR8" s="256"/>
      <c r="AS8" s="256"/>
      <c r="AT8" s="256"/>
      <c r="AU8" s="256"/>
    </row>
    <row r="9" spans="1:47" s="238" customFormat="1" ht="23.1" customHeight="1">
      <c r="A9" s="257" t="s">
        <v>35</v>
      </c>
      <c r="B9" s="246"/>
      <c r="C9" s="245"/>
      <c r="D9" s="344">
        <v>0</v>
      </c>
      <c r="E9" s="344"/>
      <c r="F9" s="258" t="s">
        <v>25</v>
      </c>
      <c r="G9" s="344">
        <v>200</v>
      </c>
      <c r="H9" s="344"/>
      <c r="I9" s="342" t="s">
        <v>19</v>
      </c>
      <c r="J9" s="342"/>
      <c r="K9" s="342"/>
      <c r="L9" s="259" t="s">
        <v>36</v>
      </c>
      <c r="O9" s="260"/>
      <c r="P9" s="341">
        <v>0.1</v>
      </c>
      <c r="Q9" s="341"/>
      <c r="R9" s="261" t="str">
        <f>I9</f>
        <v>N.m</v>
      </c>
      <c r="U9" s="262"/>
      <c r="V9" s="262"/>
      <c r="W9" s="263"/>
      <c r="X9" s="345"/>
      <c r="Y9" s="345"/>
      <c r="Z9" s="345"/>
      <c r="AA9" s="345"/>
      <c r="AB9" s="246"/>
      <c r="AC9" s="246"/>
      <c r="AD9" s="246"/>
      <c r="AG9" s="347"/>
      <c r="AH9" s="348"/>
      <c r="AI9" s="348"/>
      <c r="AJ9" s="346"/>
      <c r="AK9" s="346"/>
      <c r="AL9" s="254"/>
      <c r="AM9" s="248"/>
      <c r="AN9" s="256"/>
      <c r="AO9" s="255"/>
      <c r="AP9" s="256"/>
      <c r="AQ9" s="256"/>
      <c r="AR9" s="256"/>
      <c r="AS9" s="256"/>
      <c r="AT9" s="256"/>
      <c r="AU9" s="256"/>
    </row>
    <row r="10" spans="1:47" s="238" customFormat="1" ht="23.1" customHeight="1">
      <c r="A10" s="259" t="s">
        <v>90</v>
      </c>
      <c r="B10" s="259"/>
      <c r="C10" s="259"/>
      <c r="D10" s="259"/>
      <c r="E10" s="259"/>
      <c r="F10" s="257"/>
      <c r="G10" s="257"/>
      <c r="H10" s="257" t="s">
        <v>91</v>
      </c>
      <c r="J10" s="264"/>
      <c r="L10" s="257" t="s">
        <v>92</v>
      </c>
      <c r="N10" s="257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19"/>
      <c r="AC10" s="319"/>
      <c r="AD10" s="246"/>
      <c r="AE10" s="253"/>
      <c r="AF10" s="253"/>
      <c r="AG10" s="347"/>
      <c r="AH10" s="348"/>
      <c r="AI10" s="348"/>
      <c r="AJ10" s="346"/>
      <c r="AK10" s="346"/>
      <c r="AL10" s="254"/>
      <c r="AM10" s="248"/>
      <c r="AN10" s="256"/>
      <c r="AO10" s="256"/>
      <c r="AP10" s="255"/>
      <c r="AQ10" s="256"/>
      <c r="AR10" s="256"/>
      <c r="AS10" s="256"/>
      <c r="AT10" s="256"/>
      <c r="AU10" s="256"/>
    </row>
    <row r="11" spans="1:47" s="238" customFormat="1" ht="6.95" customHeight="1">
      <c r="A11" s="265"/>
      <c r="B11" s="265"/>
      <c r="C11" s="265"/>
      <c r="D11" s="266"/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6"/>
      <c r="AB11" s="246"/>
      <c r="AC11" s="246"/>
      <c r="AD11" s="246"/>
      <c r="AE11" s="253"/>
      <c r="AF11" s="253"/>
      <c r="AG11" s="347"/>
      <c r="AH11" s="348"/>
      <c r="AI11" s="348"/>
      <c r="AJ11" s="346"/>
      <c r="AK11" s="346"/>
      <c r="AL11" s="254"/>
      <c r="AM11" s="248"/>
      <c r="AN11" s="256"/>
      <c r="AO11" s="256"/>
      <c r="AP11" s="256"/>
      <c r="AQ11" s="255"/>
      <c r="AR11" s="256"/>
      <c r="AS11" s="256"/>
      <c r="AT11" s="256"/>
      <c r="AU11" s="256"/>
    </row>
    <row r="12" spans="1:47" s="238" customFormat="1" ht="23.1" customHeight="1">
      <c r="A12" s="257" t="s">
        <v>128</v>
      </c>
      <c r="B12" s="257"/>
      <c r="C12" s="257"/>
      <c r="D12" s="257"/>
      <c r="E12" s="257"/>
      <c r="F12" s="257"/>
      <c r="G12" s="267" t="s">
        <v>51</v>
      </c>
      <c r="H12" s="316" t="s">
        <v>16</v>
      </c>
      <c r="I12" s="316"/>
      <c r="J12" s="316"/>
      <c r="K12" s="316"/>
      <c r="L12" s="316"/>
      <c r="M12" s="316"/>
      <c r="N12" s="316"/>
      <c r="O12" s="246"/>
      <c r="P12" s="246"/>
      <c r="Q12" s="244"/>
      <c r="R12" s="258" t="s">
        <v>37</v>
      </c>
      <c r="S12" s="258"/>
      <c r="T12" s="317">
        <v>42972</v>
      </c>
      <c r="U12" s="316"/>
      <c r="V12" s="316"/>
      <c r="W12" s="316"/>
      <c r="X12" s="316"/>
      <c r="Y12" s="316"/>
      <c r="Z12" s="316"/>
      <c r="AA12" s="246"/>
      <c r="AB12" s="246"/>
      <c r="AC12" s="246"/>
      <c r="AD12" s="246"/>
      <c r="AE12" s="268"/>
      <c r="AF12" s="268"/>
      <c r="AG12" s="347"/>
      <c r="AH12" s="348"/>
      <c r="AI12" s="348"/>
      <c r="AJ12" s="346"/>
      <c r="AK12" s="346"/>
      <c r="AL12" s="254"/>
      <c r="AM12" s="248"/>
      <c r="AN12" s="256"/>
      <c r="AO12" s="256"/>
      <c r="AP12" s="256"/>
      <c r="AQ12" s="256"/>
      <c r="AR12" s="255"/>
      <c r="AS12" s="256"/>
      <c r="AT12" s="256"/>
      <c r="AU12" s="256"/>
    </row>
    <row r="13" spans="1:47" s="238" customFormat="1" ht="23.1" customHeight="1">
      <c r="A13" s="257" t="s">
        <v>128</v>
      </c>
      <c r="B13" s="257"/>
      <c r="C13" s="257"/>
      <c r="D13" s="257"/>
      <c r="E13" s="257"/>
      <c r="F13" s="257"/>
      <c r="G13" s="257" t="s">
        <v>51</v>
      </c>
      <c r="H13" s="318" t="s">
        <v>17</v>
      </c>
      <c r="I13" s="318"/>
      <c r="J13" s="318"/>
      <c r="K13" s="318"/>
      <c r="L13" s="318"/>
      <c r="M13" s="318"/>
      <c r="N13" s="318"/>
      <c r="O13" s="246"/>
      <c r="P13" s="246"/>
      <c r="Q13" s="244"/>
      <c r="R13" s="258" t="s">
        <v>37</v>
      </c>
      <c r="S13" s="258"/>
      <c r="T13" s="340">
        <v>42972</v>
      </c>
      <c r="U13" s="318"/>
      <c r="V13" s="318"/>
      <c r="W13" s="318"/>
      <c r="X13" s="318"/>
      <c r="Y13" s="318"/>
      <c r="Z13" s="318"/>
      <c r="AA13" s="246"/>
      <c r="AB13" s="246"/>
      <c r="AC13" s="246"/>
      <c r="AD13" s="246"/>
      <c r="AG13" s="347"/>
      <c r="AH13" s="348"/>
      <c r="AI13" s="348"/>
      <c r="AJ13" s="346"/>
      <c r="AK13" s="346"/>
      <c r="AL13" s="254"/>
      <c r="AM13" s="248"/>
      <c r="AN13" s="256"/>
      <c r="AO13" s="256"/>
      <c r="AP13" s="256"/>
      <c r="AQ13" s="256"/>
      <c r="AR13" s="256"/>
      <c r="AS13" s="256"/>
      <c r="AT13" s="255"/>
      <c r="AU13" s="256"/>
    </row>
    <row r="14" spans="1:47" s="238" customFormat="1" ht="23.1" customHeight="1">
      <c r="A14" s="269" t="str">
        <f>[23]Certificate!C22</f>
        <v>Calibration Procedure</v>
      </c>
      <c r="B14" s="269"/>
      <c r="C14" s="269"/>
      <c r="D14" s="269"/>
      <c r="E14" s="269"/>
      <c r="F14" s="269"/>
      <c r="G14" s="270" t="s">
        <v>51</v>
      </c>
      <c r="H14" s="332" t="s">
        <v>122</v>
      </c>
      <c r="I14" s="332"/>
      <c r="J14" s="332"/>
      <c r="K14" s="332"/>
      <c r="L14" s="332"/>
      <c r="M14" s="332"/>
      <c r="N14" s="332"/>
      <c r="O14" s="246"/>
      <c r="P14" s="246"/>
      <c r="Q14" s="244"/>
      <c r="R14" s="258"/>
      <c r="S14" s="258"/>
      <c r="T14" s="245"/>
      <c r="U14" s="245"/>
      <c r="V14" s="245"/>
      <c r="W14" s="245"/>
      <c r="X14" s="245"/>
      <c r="Y14" s="245"/>
      <c r="Z14" s="245"/>
      <c r="AA14" s="246"/>
      <c r="AB14" s="246"/>
      <c r="AC14" s="246"/>
      <c r="AD14" s="246"/>
      <c r="AG14" s="271"/>
      <c r="AH14" s="272"/>
      <c r="AI14" s="272"/>
      <c r="AJ14" s="273"/>
      <c r="AK14" s="273"/>
      <c r="AL14" s="254"/>
      <c r="AM14" s="248"/>
      <c r="AN14" s="256"/>
      <c r="AO14" s="256"/>
      <c r="AP14" s="256"/>
      <c r="AQ14" s="256"/>
      <c r="AR14" s="256"/>
      <c r="AS14" s="256"/>
      <c r="AT14" s="255"/>
      <c r="AU14" s="256"/>
    </row>
    <row r="15" spans="1:47" s="238" customFormat="1" ht="18" customHeight="1">
      <c r="W15" s="274"/>
      <c r="X15" s="274"/>
      <c r="Y15" s="274"/>
      <c r="AD15" s="275"/>
      <c r="AG15" s="347"/>
      <c r="AH15" s="348"/>
      <c r="AI15" s="348"/>
      <c r="AJ15" s="346"/>
      <c r="AK15" s="346"/>
      <c r="AL15" s="254"/>
      <c r="AM15" s="248"/>
      <c r="AN15" s="256"/>
      <c r="AO15" s="256"/>
      <c r="AP15" s="256"/>
      <c r="AQ15" s="256"/>
      <c r="AR15" s="256"/>
      <c r="AS15" s="256"/>
      <c r="AT15" s="256"/>
      <c r="AU15" s="255"/>
    </row>
    <row r="16" spans="1:47" s="278" customFormat="1" ht="18" customHeight="1">
      <c r="A16" s="276"/>
      <c r="B16" s="349" t="s">
        <v>107</v>
      </c>
      <c r="C16" s="349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277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</row>
    <row r="17" spans="1:47" s="278" customFormat="1" ht="21" customHeight="1">
      <c r="A17" s="333" t="s">
        <v>45</v>
      </c>
      <c r="B17" s="334"/>
      <c r="C17" s="335"/>
      <c r="D17" s="313" t="s">
        <v>44</v>
      </c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 t="s">
        <v>38</v>
      </c>
      <c r="U17" s="313"/>
      <c r="V17" s="313"/>
      <c r="W17" s="313"/>
      <c r="X17" s="315" t="s">
        <v>79</v>
      </c>
      <c r="Y17" s="315"/>
      <c r="Z17" s="315"/>
      <c r="AA17" s="315"/>
      <c r="AB17" s="343" t="s">
        <v>0</v>
      </c>
      <c r="AC17" s="343"/>
      <c r="AD17" s="343"/>
      <c r="AE17" s="343"/>
      <c r="AG17" s="279"/>
      <c r="AH17" s="279"/>
      <c r="AI17" s="351"/>
      <c r="AJ17" s="351"/>
      <c r="AK17" s="351"/>
      <c r="AL17" s="351"/>
      <c r="AM17" s="351"/>
      <c r="AN17" s="351"/>
      <c r="AO17" s="279"/>
      <c r="AP17" s="351"/>
      <c r="AQ17" s="351"/>
      <c r="AR17" s="351"/>
      <c r="AS17" s="351"/>
      <c r="AT17" s="351"/>
      <c r="AU17" s="351"/>
    </row>
    <row r="18" spans="1:47" s="278" customFormat="1" ht="21" customHeight="1">
      <c r="A18" s="357" t="s">
        <v>46</v>
      </c>
      <c r="B18" s="358"/>
      <c r="C18" s="359"/>
      <c r="D18" s="313" t="s">
        <v>39</v>
      </c>
      <c r="E18" s="313"/>
      <c r="F18" s="313"/>
      <c r="G18" s="313"/>
      <c r="H18" s="313" t="s">
        <v>40</v>
      </c>
      <c r="I18" s="313"/>
      <c r="J18" s="313"/>
      <c r="K18" s="313"/>
      <c r="L18" s="313" t="s">
        <v>41</v>
      </c>
      <c r="M18" s="313"/>
      <c r="N18" s="313"/>
      <c r="O18" s="313"/>
      <c r="P18" s="313" t="s">
        <v>42</v>
      </c>
      <c r="Q18" s="313"/>
      <c r="R18" s="313"/>
      <c r="S18" s="313"/>
      <c r="T18" s="313"/>
      <c r="U18" s="313"/>
      <c r="V18" s="313"/>
      <c r="W18" s="313"/>
      <c r="X18" s="315"/>
      <c r="Y18" s="315"/>
      <c r="Z18" s="315"/>
      <c r="AA18" s="315"/>
      <c r="AB18" s="343"/>
      <c r="AC18" s="343"/>
      <c r="AD18" s="343"/>
      <c r="AE18" s="343"/>
      <c r="AG18" s="279"/>
      <c r="AH18" s="279"/>
      <c r="AI18" s="338"/>
      <c r="AJ18" s="338"/>
      <c r="AK18" s="338"/>
      <c r="AL18" s="339"/>
      <c r="AM18" s="339"/>
      <c r="AN18" s="339"/>
      <c r="AO18" s="279"/>
      <c r="AP18" s="338"/>
      <c r="AQ18" s="338"/>
      <c r="AR18" s="338"/>
      <c r="AS18" s="339"/>
      <c r="AT18" s="339"/>
      <c r="AU18" s="339"/>
    </row>
    <row r="19" spans="1:47" s="278" customFormat="1" ht="21" customHeight="1">
      <c r="A19" s="356">
        <f>G9*20%</f>
        <v>40</v>
      </c>
      <c r="B19" s="356"/>
      <c r="C19" s="356"/>
      <c r="D19" s="311"/>
      <c r="E19" s="311"/>
      <c r="F19" s="311"/>
      <c r="G19" s="311"/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4" t="e">
        <f>AVERAGE(D19:S19)</f>
        <v>#DIV/0!</v>
      </c>
      <c r="U19" s="314"/>
      <c r="V19" s="314"/>
      <c r="W19" s="314"/>
      <c r="X19" s="309" t="e">
        <f>A19-T19</f>
        <v>#DIV/0!</v>
      </c>
      <c r="Y19" s="309"/>
      <c r="Z19" s="309"/>
      <c r="AA19" s="309"/>
      <c r="AB19" s="312" t="e">
        <f>STDEV(D19:S19)/SQRT(4)</f>
        <v>#DIV/0!</v>
      </c>
      <c r="AC19" s="312"/>
      <c r="AD19" s="312"/>
      <c r="AE19" s="312"/>
      <c r="AG19" s="279"/>
      <c r="AH19" s="279"/>
      <c r="AI19" s="336"/>
      <c r="AJ19" s="336"/>
      <c r="AK19" s="336"/>
      <c r="AL19" s="337"/>
      <c r="AM19" s="337"/>
      <c r="AN19" s="337"/>
      <c r="AO19" s="279"/>
      <c r="AP19" s="336"/>
      <c r="AQ19" s="336"/>
      <c r="AR19" s="336"/>
      <c r="AS19" s="337"/>
      <c r="AT19" s="337"/>
      <c r="AU19" s="337"/>
    </row>
    <row r="20" spans="1:47" s="278" customFormat="1" ht="21" customHeight="1">
      <c r="A20" s="356">
        <f>G9*40%</f>
        <v>80</v>
      </c>
      <c r="B20" s="356"/>
      <c r="C20" s="356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4" t="e">
        <f t="shared" ref="T20:T23" si="0">AVERAGE(D20:S20)</f>
        <v>#DIV/0!</v>
      </c>
      <c r="U20" s="314"/>
      <c r="V20" s="314"/>
      <c r="W20" s="314"/>
      <c r="X20" s="309" t="e">
        <f t="shared" ref="X20:X23" si="1">A20-T20</f>
        <v>#DIV/0!</v>
      </c>
      <c r="Y20" s="309"/>
      <c r="Z20" s="309"/>
      <c r="AA20" s="309"/>
      <c r="AB20" s="312" t="e">
        <f t="shared" ref="AB20:AB23" si="2">STDEV(D20:S20)/SQRT(4)</f>
        <v>#DIV/0!</v>
      </c>
      <c r="AC20" s="312"/>
      <c r="AD20" s="312"/>
      <c r="AE20" s="312"/>
      <c r="AG20" s="279"/>
      <c r="AH20" s="279"/>
      <c r="AI20" s="336"/>
      <c r="AJ20" s="336"/>
      <c r="AK20" s="336"/>
      <c r="AL20" s="337"/>
      <c r="AM20" s="337"/>
      <c r="AN20" s="337"/>
      <c r="AO20" s="280"/>
      <c r="AP20" s="336"/>
      <c r="AQ20" s="336"/>
      <c r="AR20" s="336"/>
      <c r="AS20" s="337"/>
      <c r="AT20" s="337"/>
      <c r="AU20" s="337"/>
    </row>
    <row r="21" spans="1:47" s="278" customFormat="1" ht="21" customHeight="1">
      <c r="A21" s="356">
        <f>G9*60%</f>
        <v>120</v>
      </c>
      <c r="B21" s="356"/>
      <c r="C21" s="356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4" t="e">
        <f t="shared" si="0"/>
        <v>#DIV/0!</v>
      </c>
      <c r="U21" s="314"/>
      <c r="V21" s="314"/>
      <c r="W21" s="314"/>
      <c r="X21" s="309" t="e">
        <f t="shared" si="1"/>
        <v>#DIV/0!</v>
      </c>
      <c r="Y21" s="309"/>
      <c r="Z21" s="309"/>
      <c r="AA21" s="309"/>
      <c r="AB21" s="312" t="e">
        <f t="shared" si="2"/>
        <v>#DIV/0!</v>
      </c>
      <c r="AC21" s="312"/>
      <c r="AD21" s="312"/>
      <c r="AE21" s="312"/>
      <c r="AG21" s="279"/>
      <c r="AH21" s="279"/>
      <c r="AI21" s="336"/>
      <c r="AJ21" s="336"/>
      <c r="AK21" s="336"/>
      <c r="AL21" s="337"/>
      <c r="AM21" s="337"/>
      <c r="AN21" s="337"/>
      <c r="AO21" s="280"/>
      <c r="AP21" s="336"/>
      <c r="AQ21" s="336"/>
      <c r="AR21" s="336"/>
      <c r="AS21" s="337"/>
      <c r="AT21" s="337"/>
      <c r="AU21" s="337"/>
    </row>
    <row r="22" spans="1:47" s="278" customFormat="1" ht="21" customHeight="1">
      <c r="A22" s="356">
        <f>G9*80%</f>
        <v>160</v>
      </c>
      <c r="B22" s="356"/>
      <c r="C22" s="356"/>
      <c r="D22" s="311"/>
      <c r="E22" s="311"/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4" t="e">
        <f t="shared" si="0"/>
        <v>#DIV/0!</v>
      </c>
      <c r="U22" s="314"/>
      <c r="V22" s="314"/>
      <c r="W22" s="314"/>
      <c r="X22" s="309" t="e">
        <f t="shared" si="1"/>
        <v>#DIV/0!</v>
      </c>
      <c r="Y22" s="309"/>
      <c r="Z22" s="309"/>
      <c r="AA22" s="309"/>
      <c r="AB22" s="312" t="e">
        <f t="shared" si="2"/>
        <v>#DIV/0!</v>
      </c>
      <c r="AC22" s="312"/>
      <c r="AD22" s="312"/>
      <c r="AE22" s="312"/>
      <c r="AG22" s="279"/>
      <c r="AH22" s="279"/>
      <c r="AI22" s="336"/>
      <c r="AJ22" s="336"/>
      <c r="AK22" s="336"/>
      <c r="AL22" s="337"/>
      <c r="AM22" s="337"/>
      <c r="AN22" s="337"/>
      <c r="AO22" s="280"/>
      <c r="AP22" s="336"/>
      <c r="AQ22" s="336"/>
      <c r="AR22" s="336"/>
      <c r="AS22" s="337"/>
      <c r="AT22" s="337"/>
      <c r="AU22" s="337"/>
    </row>
    <row r="23" spans="1:47" s="278" customFormat="1" ht="21" customHeight="1">
      <c r="A23" s="356">
        <f>G9*100%</f>
        <v>200</v>
      </c>
      <c r="B23" s="356"/>
      <c r="C23" s="356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4" t="e">
        <f t="shared" si="0"/>
        <v>#DIV/0!</v>
      </c>
      <c r="U23" s="314"/>
      <c r="V23" s="314"/>
      <c r="W23" s="314"/>
      <c r="X23" s="309" t="e">
        <f t="shared" si="1"/>
        <v>#DIV/0!</v>
      </c>
      <c r="Y23" s="309"/>
      <c r="Z23" s="309"/>
      <c r="AA23" s="309"/>
      <c r="AB23" s="312" t="e">
        <f t="shared" si="2"/>
        <v>#DIV/0!</v>
      </c>
      <c r="AC23" s="312"/>
      <c r="AD23" s="312"/>
      <c r="AE23" s="312"/>
      <c r="AG23" s="279"/>
      <c r="AH23" s="279"/>
      <c r="AI23" s="336"/>
      <c r="AJ23" s="336"/>
      <c r="AK23" s="336"/>
      <c r="AL23" s="337"/>
      <c r="AM23" s="337"/>
      <c r="AN23" s="337"/>
      <c r="AO23" s="280"/>
      <c r="AP23" s="336"/>
      <c r="AQ23" s="336"/>
      <c r="AR23" s="336"/>
      <c r="AS23" s="337"/>
      <c r="AT23" s="337"/>
      <c r="AU23" s="337"/>
    </row>
    <row r="24" spans="1:47" s="278" customFormat="1" ht="21" customHeight="1">
      <c r="A24" s="281"/>
      <c r="B24" s="282"/>
      <c r="C24" s="282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4"/>
      <c r="U24" s="284"/>
      <c r="V24" s="284"/>
      <c r="W24" s="284"/>
      <c r="X24" s="285"/>
      <c r="Y24" s="285"/>
      <c r="Z24" s="285"/>
      <c r="AA24" s="285"/>
      <c r="AB24" s="286"/>
      <c r="AC24" s="286"/>
      <c r="AD24" s="286"/>
      <c r="AE24" s="286"/>
      <c r="AG24" s="279"/>
      <c r="AH24" s="279"/>
      <c r="AI24" s="287"/>
      <c r="AJ24" s="287"/>
      <c r="AK24" s="287"/>
      <c r="AL24" s="288"/>
      <c r="AM24" s="288"/>
      <c r="AN24" s="288"/>
      <c r="AO24" s="280"/>
      <c r="AP24" s="287"/>
      <c r="AQ24" s="287"/>
      <c r="AR24" s="287"/>
      <c r="AS24" s="288"/>
      <c r="AT24" s="288"/>
      <c r="AU24" s="288"/>
    </row>
    <row r="25" spans="1:47" s="278" customFormat="1" ht="21.95" customHeight="1">
      <c r="A25" s="289"/>
      <c r="B25" s="354" t="s">
        <v>108</v>
      </c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5"/>
      <c r="U25" s="355"/>
      <c r="V25" s="355"/>
      <c r="W25" s="355"/>
      <c r="X25" s="355"/>
      <c r="Y25" s="355"/>
      <c r="Z25" s="279"/>
      <c r="AA25" s="279"/>
      <c r="AB25" s="279"/>
      <c r="AC25" s="279"/>
      <c r="AD25" s="279"/>
      <c r="AE25" s="279"/>
      <c r="AF25" s="279"/>
      <c r="AG25" s="279"/>
      <c r="AH25" s="279"/>
      <c r="AI25" s="336"/>
      <c r="AJ25" s="336"/>
      <c r="AK25" s="336"/>
      <c r="AL25" s="337"/>
      <c r="AM25" s="337"/>
      <c r="AN25" s="337"/>
      <c r="AO25" s="280"/>
      <c r="AP25" s="336"/>
      <c r="AQ25" s="336"/>
      <c r="AR25" s="336"/>
      <c r="AS25" s="337"/>
      <c r="AT25" s="337"/>
      <c r="AU25" s="337"/>
    </row>
    <row r="26" spans="1:47" s="278" customFormat="1" ht="21" customHeight="1">
      <c r="A26" s="333" t="s">
        <v>45</v>
      </c>
      <c r="B26" s="334"/>
      <c r="C26" s="335"/>
      <c r="D26" s="388" t="s">
        <v>44</v>
      </c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90"/>
      <c r="T26" s="313" t="s">
        <v>38</v>
      </c>
      <c r="U26" s="313"/>
      <c r="V26" s="313"/>
      <c r="W26" s="313"/>
      <c r="X26" s="315" t="s">
        <v>79</v>
      </c>
      <c r="Y26" s="315"/>
      <c r="Z26" s="315"/>
      <c r="AA26" s="315"/>
      <c r="AB26" s="343" t="s">
        <v>0</v>
      </c>
      <c r="AC26" s="343"/>
      <c r="AD26" s="343"/>
      <c r="AE26" s="343"/>
      <c r="AG26" s="279"/>
      <c r="AH26" s="279"/>
      <c r="AI26" s="351"/>
      <c r="AJ26" s="351"/>
      <c r="AK26" s="351"/>
      <c r="AL26" s="351"/>
      <c r="AM26" s="351"/>
      <c r="AN26" s="351"/>
      <c r="AO26" s="279"/>
      <c r="AP26" s="351"/>
      <c r="AQ26" s="351"/>
      <c r="AR26" s="351"/>
      <c r="AS26" s="351"/>
      <c r="AT26" s="351"/>
      <c r="AU26" s="351"/>
    </row>
    <row r="27" spans="1:47" s="278" customFormat="1" ht="21" customHeight="1">
      <c r="A27" s="357" t="s">
        <v>46</v>
      </c>
      <c r="B27" s="358"/>
      <c r="C27" s="359"/>
      <c r="D27" s="333" t="s">
        <v>39</v>
      </c>
      <c r="E27" s="334"/>
      <c r="F27" s="334"/>
      <c r="G27" s="334"/>
      <c r="H27" s="333" t="s">
        <v>40</v>
      </c>
      <c r="I27" s="334"/>
      <c r="J27" s="334"/>
      <c r="K27" s="334"/>
      <c r="L27" s="333" t="s">
        <v>41</v>
      </c>
      <c r="M27" s="334"/>
      <c r="N27" s="334"/>
      <c r="O27" s="334"/>
      <c r="P27" s="333" t="s">
        <v>42</v>
      </c>
      <c r="Q27" s="334"/>
      <c r="R27" s="334"/>
      <c r="S27" s="334"/>
      <c r="T27" s="313"/>
      <c r="U27" s="313"/>
      <c r="V27" s="313"/>
      <c r="W27" s="313"/>
      <c r="X27" s="315"/>
      <c r="Y27" s="315"/>
      <c r="Z27" s="315"/>
      <c r="AA27" s="315"/>
      <c r="AB27" s="343"/>
      <c r="AC27" s="343"/>
      <c r="AD27" s="343"/>
      <c r="AE27" s="343"/>
      <c r="AG27" s="279"/>
      <c r="AH27" s="279"/>
      <c r="AI27" s="338"/>
      <c r="AJ27" s="338"/>
      <c r="AK27" s="338"/>
      <c r="AL27" s="339"/>
      <c r="AM27" s="339"/>
      <c r="AN27" s="339"/>
      <c r="AO27" s="279"/>
      <c r="AP27" s="338"/>
      <c r="AQ27" s="338"/>
      <c r="AR27" s="338"/>
      <c r="AS27" s="339"/>
      <c r="AT27" s="339"/>
      <c r="AU27" s="339"/>
    </row>
    <row r="28" spans="1:47" s="278" customFormat="1" ht="21" customHeight="1">
      <c r="A28" s="356">
        <f>A19</f>
        <v>40</v>
      </c>
      <c r="B28" s="356"/>
      <c r="C28" s="356"/>
      <c r="D28" s="311"/>
      <c r="E28" s="311"/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4" t="e">
        <f>AVERAGE(D28:S28)</f>
        <v>#DIV/0!</v>
      </c>
      <c r="U28" s="314"/>
      <c r="V28" s="314"/>
      <c r="W28" s="314"/>
      <c r="X28" s="309" t="e">
        <f>A28-T28</f>
        <v>#DIV/0!</v>
      </c>
      <c r="Y28" s="309"/>
      <c r="Z28" s="309"/>
      <c r="AA28" s="309"/>
      <c r="AB28" s="310" t="e">
        <f>STDEV(D28:S28)/SQRT(4)</f>
        <v>#DIV/0!</v>
      </c>
      <c r="AC28" s="310"/>
      <c r="AD28" s="310"/>
      <c r="AE28" s="310"/>
      <c r="AG28" s="279"/>
      <c r="AH28" s="279"/>
      <c r="AI28" s="336"/>
      <c r="AJ28" s="336"/>
      <c r="AK28" s="336"/>
      <c r="AL28" s="337"/>
      <c r="AM28" s="337"/>
      <c r="AN28" s="337"/>
      <c r="AO28" s="290"/>
      <c r="AP28" s="336"/>
      <c r="AQ28" s="336"/>
      <c r="AR28" s="336"/>
      <c r="AS28" s="337"/>
      <c r="AT28" s="337"/>
      <c r="AU28" s="337"/>
    </row>
    <row r="29" spans="1:47" ht="21" customHeight="1">
      <c r="A29" s="356">
        <f t="shared" ref="A29:A32" si="3">A20</f>
        <v>80</v>
      </c>
      <c r="B29" s="356"/>
      <c r="C29" s="356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4" t="e">
        <f t="shared" ref="T29:T32" si="4">AVERAGE(D29:S29)</f>
        <v>#DIV/0!</v>
      </c>
      <c r="U29" s="314"/>
      <c r="V29" s="314"/>
      <c r="W29" s="314"/>
      <c r="X29" s="309" t="e">
        <f>A29-T29</f>
        <v>#DIV/0!</v>
      </c>
      <c r="Y29" s="309"/>
      <c r="Z29" s="309"/>
      <c r="AA29" s="309"/>
      <c r="AB29" s="310" t="e">
        <f t="shared" ref="AB29:AB32" si="5">STDEV(D29:S29)/SQRT(4)</f>
        <v>#DIV/0!</v>
      </c>
      <c r="AC29" s="310"/>
      <c r="AD29" s="310"/>
      <c r="AE29" s="310"/>
      <c r="AG29" s="290"/>
      <c r="AH29" s="290"/>
      <c r="AI29" s="336"/>
      <c r="AJ29" s="336"/>
      <c r="AK29" s="336"/>
      <c r="AL29" s="337"/>
      <c r="AM29" s="337"/>
      <c r="AN29" s="337"/>
      <c r="AO29" s="290"/>
      <c r="AP29" s="336"/>
      <c r="AQ29" s="336"/>
      <c r="AR29" s="336"/>
      <c r="AS29" s="337"/>
      <c r="AT29" s="337"/>
      <c r="AU29" s="337"/>
    </row>
    <row r="30" spans="1:47" ht="21" customHeight="1">
      <c r="A30" s="356">
        <f t="shared" si="3"/>
        <v>120</v>
      </c>
      <c r="B30" s="356"/>
      <c r="C30" s="356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1"/>
      <c r="P30" s="311"/>
      <c r="Q30" s="311"/>
      <c r="R30" s="311"/>
      <c r="S30" s="311"/>
      <c r="T30" s="314" t="e">
        <f t="shared" si="4"/>
        <v>#DIV/0!</v>
      </c>
      <c r="U30" s="314"/>
      <c r="V30" s="314"/>
      <c r="W30" s="314"/>
      <c r="X30" s="309" t="e">
        <f>A30-T30</f>
        <v>#DIV/0!</v>
      </c>
      <c r="Y30" s="309"/>
      <c r="Z30" s="309"/>
      <c r="AA30" s="309"/>
      <c r="AB30" s="310" t="e">
        <f t="shared" si="5"/>
        <v>#DIV/0!</v>
      </c>
      <c r="AC30" s="310"/>
      <c r="AD30" s="310"/>
      <c r="AE30" s="310"/>
      <c r="AG30" s="290"/>
      <c r="AH30" s="290"/>
      <c r="AI30" s="336"/>
      <c r="AJ30" s="336"/>
      <c r="AK30" s="336"/>
      <c r="AL30" s="337"/>
      <c r="AM30" s="337"/>
      <c r="AN30" s="337"/>
      <c r="AO30" s="290"/>
      <c r="AP30" s="336"/>
      <c r="AQ30" s="336"/>
      <c r="AR30" s="336"/>
      <c r="AS30" s="337"/>
      <c r="AT30" s="337"/>
      <c r="AU30" s="337"/>
    </row>
    <row r="31" spans="1:47" ht="21" customHeight="1">
      <c r="A31" s="356">
        <f t="shared" si="3"/>
        <v>160</v>
      </c>
      <c r="B31" s="356"/>
      <c r="C31" s="356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1"/>
      <c r="P31" s="311"/>
      <c r="Q31" s="311"/>
      <c r="R31" s="311"/>
      <c r="S31" s="311"/>
      <c r="T31" s="314" t="e">
        <f t="shared" si="4"/>
        <v>#DIV/0!</v>
      </c>
      <c r="U31" s="314"/>
      <c r="V31" s="314"/>
      <c r="W31" s="314"/>
      <c r="X31" s="309" t="e">
        <f>A31-T31</f>
        <v>#DIV/0!</v>
      </c>
      <c r="Y31" s="309"/>
      <c r="Z31" s="309"/>
      <c r="AA31" s="309"/>
      <c r="AB31" s="310" t="e">
        <f t="shared" si="5"/>
        <v>#DIV/0!</v>
      </c>
      <c r="AC31" s="310"/>
      <c r="AD31" s="310"/>
      <c r="AE31" s="310"/>
      <c r="AF31" s="290"/>
      <c r="AG31" s="290"/>
      <c r="AH31" s="290"/>
      <c r="AI31" s="336"/>
      <c r="AJ31" s="336"/>
      <c r="AK31" s="336"/>
      <c r="AL31" s="337"/>
      <c r="AM31" s="337"/>
      <c r="AN31" s="337"/>
      <c r="AO31" s="290"/>
      <c r="AP31" s="336"/>
      <c r="AQ31" s="336"/>
      <c r="AR31" s="336"/>
      <c r="AS31" s="337"/>
      <c r="AT31" s="337"/>
      <c r="AU31" s="337"/>
    </row>
    <row r="32" spans="1:47" ht="21" customHeight="1">
      <c r="A32" s="356">
        <f t="shared" si="3"/>
        <v>200</v>
      </c>
      <c r="B32" s="356"/>
      <c r="C32" s="356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4" t="e">
        <f t="shared" si="4"/>
        <v>#DIV/0!</v>
      </c>
      <c r="U32" s="314"/>
      <c r="V32" s="314"/>
      <c r="W32" s="314"/>
      <c r="X32" s="309" t="e">
        <f>A32-T32</f>
        <v>#DIV/0!</v>
      </c>
      <c r="Y32" s="309"/>
      <c r="Z32" s="309"/>
      <c r="AA32" s="309"/>
      <c r="AB32" s="310" t="e">
        <f t="shared" si="5"/>
        <v>#DIV/0!</v>
      </c>
      <c r="AC32" s="310"/>
      <c r="AD32" s="310"/>
      <c r="AE32" s="310"/>
      <c r="AF32" s="290"/>
      <c r="AG32" s="290"/>
      <c r="AH32" s="290"/>
      <c r="AI32" s="336"/>
      <c r="AJ32" s="336"/>
      <c r="AK32" s="336"/>
      <c r="AL32" s="337"/>
      <c r="AM32" s="337"/>
      <c r="AN32" s="337"/>
      <c r="AO32" s="290"/>
      <c r="AP32" s="336"/>
      <c r="AQ32" s="336"/>
      <c r="AR32" s="336"/>
      <c r="AS32" s="337"/>
      <c r="AT32" s="337"/>
      <c r="AU32" s="337"/>
    </row>
    <row r="33" spans="1:47" ht="18" customHeight="1">
      <c r="A33" s="289"/>
      <c r="C33" s="292"/>
      <c r="D33" s="292"/>
      <c r="E33" s="292"/>
      <c r="F33" s="292"/>
      <c r="G33" s="293"/>
      <c r="H33" s="292"/>
      <c r="I33" s="292"/>
      <c r="J33" s="292"/>
      <c r="K33" s="292"/>
      <c r="L33" s="294"/>
      <c r="M33" s="292"/>
      <c r="N33" s="292"/>
      <c r="O33" s="292"/>
      <c r="P33" s="292"/>
      <c r="Q33" s="295"/>
      <c r="R33" s="295"/>
      <c r="S33" s="296"/>
      <c r="T33" s="296"/>
      <c r="U33" s="296"/>
      <c r="V33" s="296"/>
      <c r="W33" s="297"/>
      <c r="X33" s="297"/>
      <c r="Y33" s="297"/>
      <c r="Z33" s="297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</row>
    <row r="34" spans="1:47" ht="18" customHeight="1">
      <c r="A34" s="277" t="s">
        <v>43</v>
      </c>
      <c r="B34" s="277"/>
      <c r="C34" s="277"/>
      <c r="D34" s="277"/>
      <c r="F34" s="367" t="s">
        <v>131</v>
      </c>
      <c r="G34" s="367"/>
      <c r="H34" s="367"/>
      <c r="I34" s="367"/>
      <c r="J34" s="367"/>
      <c r="K34" s="367"/>
      <c r="L34" s="367"/>
      <c r="M34" s="367"/>
    </row>
    <row r="35" spans="1:47" ht="18" customHeight="1"/>
    <row r="36" spans="1:47" ht="18" customHeight="1"/>
    <row r="37" spans="1:47" ht="18" customHeight="1">
      <c r="G37" s="298" t="s">
        <v>130</v>
      </c>
    </row>
    <row r="38" spans="1:47" ht="18" customHeight="1">
      <c r="G38" s="298" t="s">
        <v>131</v>
      </c>
    </row>
    <row r="39" spans="1:47" ht="18" customHeight="1">
      <c r="G39" s="298" t="s">
        <v>132</v>
      </c>
    </row>
    <row r="40" spans="1:47" ht="18" customHeight="1">
      <c r="G40" s="298" t="s">
        <v>133</v>
      </c>
    </row>
    <row r="41" spans="1:47" ht="21.75">
      <c r="E41" s="299"/>
      <c r="F41" s="299"/>
      <c r="G41" s="298" t="s">
        <v>134</v>
      </c>
      <c r="H41" s="300"/>
    </row>
    <row r="43" spans="1:47" ht="18" customHeight="1">
      <c r="A43" s="293" t="s">
        <v>93</v>
      </c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91"/>
    </row>
    <row r="44" spans="1:47" s="292" customFormat="1" ht="18" customHeight="1">
      <c r="A44" s="301" t="s">
        <v>44</v>
      </c>
      <c r="B44" s="302"/>
      <c r="C44" s="302"/>
      <c r="D44" s="302"/>
      <c r="E44" s="303"/>
      <c r="F44" s="385" t="s">
        <v>94</v>
      </c>
      <c r="G44" s="386"/>
      <c r="H44" s="386"/>
      <c r="I44" s="387"/>
      <c r="J44" s="364" t="s">
        <v>139</v>
      </c>
      <c r="K44" s="366"/>
      <c r="L44" s="364" t="s">
        <v>140</v>
      </c>
      <c r="M44" s="365"/>
      <c r="N44" s="366"/>
      <c r="O44" s="364" t="s">
        <v>141</v>
      </c>
      <c r="P44" s="366"/>
      <c r="Q44" s="364" t="s">
        <v>142</v>
      </c>
      <c r="R44" s="365"/>
      <c r="S44" s="366"/>
      <c r="T44" s="364" t="s">
        <v>143</v>
      </c>
      <c r="U44" s="365"/>
      <c r="V44" s="365"/>
      <c r="W44" s="364" t="s">
        <v>144</v>
      </c>
      <c r="X44" s="365"/>
      <c r="Y44" s="366"/>
      <c r="Z44" s="364" t="s">
        <v>145</v>
      </c>
      <c r="AA44" s="365"/>
      <c r="AB44" s="366"/>
      <c r="AC44" s="364" t="s">
        <v>146</v>
      </c>
      <c r="AD44" s="366"/>
    </row>
    <row r="45" spans="1:47" s="306" customFormat="1" ht="18" customHeight="1">
      <c r="A45" s="360">
        <f>A19</f>
        <v>40</v>
      </c>
      <c r="B45" s="361"/>
      <c r="C45" s="361"/>
      <c r="D45" s="362" t="s">
        <v>139</v>
      </c>
      <c r="E45" s="363"/>
      <c r="F45" s="379">
        <v>10</v>
      </c>
      <c r="G45" s="380"/>
      <c r="H45" s="304" t="s">
        <v>139</v>
      </c>
      <c r="I45" s="305"/>
      <c r="J45" s="370">
        <f>F45</f>
        <v>10</v>
      </c>
      <c r="K45" s="378"/>
      <c r="L45" s="372">
        <f>F45*100</f>
        <v>1000</v>
      </c>
      <c r="M45" s="373"/>
      <c r="N45" s="376"/>
      <c r="O45" s="372">
        <f>F45*0.10197</f>
        <v>1.0197000000000001</v>
      </c>
      <c r="P45" s="376"/>
      <c r="Q45" s="372">
        <f>F45*10.1972</f>
        <v>101.97200000000001</v>
      </c>
      <c r="R45" s="373"/>
      <c r="S45" s="376"/>
      <c r="T45" s="372">
        <f>F45*141.612</f>
        <v>1416.12</v>
      </c>
      <c r="U45" s="373"/>
      <c r="V45" s="373"/>
      <c r="W45" s="372">
        <f>F45*11.8</f>
        <v>118</v>
      </c>
      <c r="X45" s="373"/>
      <c r="Y45" s="376"/>
      <c r="Z45" s="372">
        <f>F45*8.85075</f>
        <v>88.507499999999993</v>
      </c>
      <c r="AA45" s="373"/>
      <c r="AB45" s="376"/>
      <c r="AC45" s="372">
        <f>F45*0.73756</f>
        <v>7.3756000000000004</v>
      </c>
      <c r="AD45" s="376"/>
    </row>
    <row r="46" spans="1:47" s="292" customFormat="1" ht="18" customHeight="1">
      <c r="A46" s="360" t="e">
        <f>#REF!*100</f>
        <v>#REF!</v>
      </c>
      <c r="B46" s="361"/>
      <c r="C46" s="361"/>
      <c r="D46" s="362" t="s">
        <v>140</v>
      </c>
      <c r="E46" s="363"/>
      <c r="F46" s="379">
        <v>23</v>
      </c>
      <c r="G46" s="380"/>
      <c r="H46" s="304" t="s">
        <v>140</v>
      </c>
      <c r="I46" s="305"/>
      <c r="J46" s="372">
        <f>F46*0.01</f>
        <v>0.23</v>
      </c>
      <c r="K46" s="376"/>
      <c r="L46" s="370">
        <f>F46</f>
        <v>23</v>
      </c>
      <c r="M46" s="371"/>
      <c r="N46" s="378"/>
      <c r="O46" s="372">
        <f>F46*0.00102</f>
        <v>2.3460000000000002E-2</v>
      </c>
      <c r="P46" s="376"/>
      <c r="Q46" s="372">
        <f>F46*0.10197</f>
        <v>2.34531</v>
      </c>
      <c r="R46" s="373"/>
      <c r="S46" s="376"/>
      <c r="T46" s="372">
        <f>F46*1.41612</f>
        <v>32.57076</v>
      </c>
      <c r="U46" s="373"/>
      <c r="V46" s="373"/>
      <c r="W46" s="372">
        <f>F46*0.118</f>
        <v>2.714</v>
      </c>
      <c r="X46" s="373"/>
      <c r="Y46" s="376"/>
      <c r="Z46" s="372">
        <f>F46*0.08851</f>
        <v>2.03573</v>
      </c>
      <c r="AA46" s="373"/>
      <c r="AB46" s="376"/>
      <c r="AC46" s="372">
        <f>F46*0.00738</f>
        <v>0.16974</v>
      </c>
      <c r="AD46" s="376"/>
    </row>
    <row r="47" spans="1:47" s="292" customFormat="1" ht="18" customHeight="1">
      <c r="A47" s="360" t="e">
        <f>#REF!*0.102</f>
        <v>#REF!</v>
      </c>
      <c r="B47" s="361"/>
      <c r="C47" s="361"/>
      <c r="D47" s="362" t="s">
        <v>141</v>
      </c>
      <c r="E47" s="363"/>
      <c r="F47" s="379"/>
      <c r="G47" s="380"/>
      <c r="H47" s="304" t="s">
        <v>141</v>
      </c>
      <c r="I47" s="305"/>
      <c r="J47" s="372">
        <f>F47*9.80665</f>
        <v>0</v>
      </c>
      <c r="K47" s="376"/>
      <c r="L47" s="372">
        <f>F47*980.665</f>
        <v>0</v>
      </c>
      <c r="M47" s="373"/>
      <c r="N47" s="376"/>
      <c r="O47" s="370">
        <f>F47*1</f>
        <v>0</v>
      </c>
      <c r="P47" s="378"/>
      <c r="Q47" s="372">
        <f>F47*100</f>
        <v>0</v>
      </c>
      <c r="R47" s="373"/>
      <c r="S47" s="376"/>
      <c r="T47" s="372">
        <f>F47*1388.74</f>
        <v>0</v>
      </c>
      <c r="U47" s="373"/>
      <c r="V47" s="373"/>
      <c r="W47" s="372">
        <f>F47*115.728</f>
        <v>0</v>
      </c>
      <c r="X47" s="373"/>
      <c r="Y47" s="376"/>
      <c r="Z47" s="372">
        <f>F47*86.7962</f>
        <v>0</v>
      </c>
      <c r="AA47" s="373"/>
      <c r="AB47" s="376"/>
      <c r="AC47" s="372">
        <f>F47*7.23301</f>
        <v>0</v>
      </c>
      <c r="AD47" s="376"/>
    </row>
    <row r="48" spans="1:47" s="292" customFormat="1" ht="18" customHeight="1">
      <c r="A48" s="360" t="e">
        <f>#REF!*10.2</f>
        <v>#REF!</v>
      </c>
      <c r="B48" s="361"/>
      <c r="C48" s="361"/>
      <c r="D48" s="362" t="s">
        <v>142</v>
      </c>
      <c r="E48" s="363"/>
      <c r="F48" s="379"/>
      <c r="G48" s="380"/>
      <c r="H48" s="304" t="s">
        <v>142</v>
      </c>
      <c r="I48" s="305"/>
      <c r="J48" s="372">
        <f>F48*0.09807</f>
        <v>0</v>
      </c>
      <c r="K48" s="376"/>
      <c r="L48" s="372">
        <f>F48*9.80665</f>
        <v>0</v>
      </c>
      <c r="M48" s="373"/>
      <c r="N48" s="376"/>
      <c r="O48" s="372">
        <f>F48*0.01</f>
        <v>0</v>
      </c>
      <c r="P48" s="376"/>
      <c r="Q48" s="370">
        <f>F48</f>
        <v>0</v>
      </c>
      <c r="R48" s="371"/>
      <c r="S48" s="378"/>
      <c r="T48" s="372">
        <f>F48*13.8874</f>
        <v>0</v>
      </c>
      <c r="U48" s="373"/>
      <c r="V48" s="373"/>
      <c r="W48" s="372">
        <f>F48*1.15728</f>
        <v>0</v>
      </c>
      <c r="X48" s="373"/>
      <c r="Y48" s="376"/>
      <c r="Z48" s="372">
        <f>F48*0.86796</f>
        <v>0</v>
      </c>
      <c r="AA48" s="373"/>
      <c r="AB48" s="376"/>
      <c r="AC48" s="372">
        <f>F48*0.07233</f>
        <v>0</v>
      </c>
      <c r="AD48" s="376"/>
    </row>
    <row r="49" spans="1:30" s="292" customFormat="1" ht="18" customHeight="1">
      <c r="A49" s="360" t="e">
        <f>#REF!*141.61</f>
        <v>#REF!</v>
      </c>
      <c r="B49" s="361"/>
      <c r="C49" s="361"/>
      <c r="D49" s="362" t="s">
        <v>143</v>
      </c>
      <c r="E49" s="363"/>
      <c r="F49" s="379"/>
      <c r="G49" s="380"/>
      <c r="H49" s="304" t="s">
        <v>143</v>
      </c>
      <c r="I49" s="305"/>
      <c r="J49" s="372">
        <f>F49*0.00706</f>
        <v>0</v>
      </c>
      <c r="K49" s="376"/>
      <c r="L49" s="372">
        <f>F49*0.70616</f>
        <v>0</v>
      </c>
      <c r="M49" s="373"/>
      <c r="N49" s="376"/>
      <c r="O49" s="372">
        <f>F49*0.00072</f>
        <v>0</v>
      </c>
      <c r="P49" s="376"/>
      <c r="Q49" s="372">
        <f>F49*0.07201</f>
        <v>0</v>
      </c>
      <c r="R49" s="373"/>
      <c r="S49" s="376"/>
      <c r="T49" s="370">
        <f>F49</f>
        <v>0</v>
      </c>
      <c r="U49" s="371"/>
      <c r="V49" s="371"/>
      <c r="W49" s="372">
        <f>F49*0.08333</f>
        <v>0</v>
      </c>
      <c r="X49" s="373"/>
      <c r="Y49" s="376"/>
      <c r="Z49" s="372">
        <f>F49*0.0625</f>
        <v>0</v>
      </c>
      <c r="AA49" s="373"/>
      <c r="AB49" s="376"/>
      <c r="AC49" s="372">
        <f>F49*0.00521</f>
        <v>0</v>
      </c>
      <c r="AD49" s="376"/>
    </row>
    <row r="50" spans="1:30" s="292" customFormat="1" ht="18" customHeight="1">
      <c r="A50" s="360" t="e">
        <f>#REF!*11.8</f>
        <v>#REF!</v>
      </c>
      <c r="B50" s="361"/>
      <c r="C50" s="361"/>
      <c r="D50" s="362" t="s">
        <v>144</v>
      </c>
      <c r="E50" s="363"/>
      <c r="F50" s="379"/>
      <c r="G50" s="380"/>
      <c r="H50" s="304" t="s">
        <v>144</v>
      </c>
      <c r="I50" s="305"/>
      <c r="J50" s="372">
        <f>F50*0.08474</f>
        <v>0</v>
      </c>
      <c r="K50" s="376"/>
      <c r="L50" s="372">
        <f>F50*8.47386</f>
        <v>0</v>
      </c>
      <c r="M50" s="373"/>
      <c r="N50" s="376"/>
      <c r="O50" s="372">
        <f>F50*0.00864</f>
        <v>0</v>
      </c>
      <c r="P50" s="376"/>
      <c r="Q50" s="372">
        <f>F50*0.86409</f>
        <v>0</v>
      </c>
      <c r="R50" s="373"/>
      <c r="S50" s="376"/>
      <c r="T50" s="372">
        <f>F50*12</f>
        <v>0</v>
      </c>
      <c r="U50" s="373"/>
      <c r="V50" s="373"/>
      <c r="W50" s="370">
        <f>F50</f>
        <v>0</v>
      </c>
      <c r="X50" s="371"/>
      <c r="Y50" s="378"/>
      <c r="Z50" s="372">
        <f>F50*0.75</f>
        <v>0</v>
      </c>
      <c r="AA50" s="373"/>
      <c r="AB50" s="376"/>
      <c r="AC50" s="372">
        <f>F50*0.0625</f>
        <v>0</v>
      </c>
      <c r="AD50" s="376"/>
    </row>
    <row r="51" spans="1:30" s="292" customFormat="1" ht="18" customHeight="1">
      <c r="A51" s="360" t="e">
        <f>#REF!*8.85</f>
        <v>#REF!</v>
      </c>
      <c r="B51" s="361"/>
      <c r="C51" s="361"/>
      <c r="D51" s="362" t="s">
        <v>145</v>
      </c>
      <c r="E51" s="363"/>
      <c r="F51" s="379"/>
      <c r="G51" s="380"/>
      <c r="H51" s="304" t="s">
        <v>145</v>
      </c>
      <c r="I51" s="305"/>
      <c r="J51" s="372">
        <f>F51*0.11298</f>
        <v>0</v>
      </c>
      <c r="K51" s="376"/>
      <c r="L51" s="372">
        <f>F51*11.2985</f>
        <v>0</v>
      </c>
      <c r="M51" s="373"/>
      <c r="N51" s="376"/>
      <c r="O51" s="372">
        <f>F51*0.01152</f>
        <v>0</v>
      </c>
      <c r="P51" s="376"/>
      <c r="Q51" s="372">
        <f>F51*1.15212</f>
        <v>0</v>
      </c>
      <c r="R51" s="373"/>
      <c r="S51" s="376"/>
      <c r="T51" s="372">
        <f>F51*16</f>
        <v>0</v>
      </c>
      <c r="U51" s="373"/>
      <c r="V51" s="373"/>
      <c r="W51" s="372">
        <f>F51*1.33333</f>
        <v>0</v>
      </c>
      <c r="X51" s="373"/>
      <c r="Y51" s="376"/>
      <c r="Z51" s="370">
        <f>F51</f>
        <v>0</v>
      </c>
      <c r="AA51" s="371"/>
      <c r="AB51" s="378"/>
      <c r="AC51" s="372">
        <f>F51*0.08333</f>
        <v>0</v>
      </c>
      <c r="AD51" s="376"/>
    </row>
    <row r="52" spans="1:30" s="292" customFormat="1" ht="18" customHeight="1">
      <c r="A52" s="368" t="e">
        <f>#REF!*0.738</f>
        <v>#REF!</v>
      </c>
      <c r="B52" s="369"/>
      <c r="C52" s="369"/>
      <c r="D52" s="362" t="s">
        <v>146</v>
      </c>
      <c r="E52" s="363"/>
      <c r="F52" s="381"/>
      <c r="G52" s="382"/>
      <c r="H52" s="307" t="s">
        <v>146</v>
      </c>
      <c r="I52" s="308"/>
      <c r="J52" s="374">
        <f>F52*1.3558</f>
        <v>0</v>
      </c>
      <c r="K52" s="377"/>
      <c r="L52" s="374">
        <f>F52*135.582</f>
        <v>0</v>
      </c>
      <c r="M52" s="375"/>
      <c r="N52" s="377"/>
      <c r="O52" s="374">
        <f>F52*0.13825</f>
        <v>0</v>
      </c>
      <c r="P52" s="377"/>
      <c r="Q52" s="374">
        <f>F52*13.8255</f>
        <v>0</v>
      </c>
      <c r="R52" s="375"/>
      <c r="S52" s="377"/>
      <c r="T52" s="374">
        <f>F52*192</f>
        <v>0</v>
      </c>
      <c r="U52" s="375"/>
      <c r="V52" s="375"/>
      <c r="W52" s="374">
        <f>F52*16</f>
        <v>0</v>
      </c>
      <c r="X52" s="375"/>
      <c r="Y52" s="377"/>
      <c r="Z52" s="374">
        <f>F52*12</f>
        <v>0</v>
      </c>
      <c r="AA52" s="375"/>
      <c r="AB52" s="377"/>
      <c r="AC52" s="383">
        <f>F52</f>
        <v>0</v>
      </c>
      <c r="AD52" s="384"/>
    </row>
    <row r="53" spans="1:30" s="292" customFormat="1" ht="12.75"/>
  </sheetData>
  <mergeCells count="300">
    <mergeCell ref="L46:N46"/>
    <mergeCell ref="L45:N45"/>
    <mergeCell ref="Q44:S44"/>
    <mergeCell ref="F44:I44"/>
    <mergeCell ref="J44:K44"/>
    <mergeCell ref="T44:V44"/>
    <mergeCell ref="AI26:AN26"/>
    <mergeCell ref="D27:G27"/>
    <mergeCell ref="H27:K27"/>
    <mergeCell ref="L27:O27"/>
    <mergeCell ref="P27:S27"/>
    <mergeCell ref="D26:S26"/>
    <mergeCell ref="T26:W27"/>
    <mergeCell ref="X26:AA27"/>
    <mergeCell ref="AB26:AE27"/>
    <mergeCell ref="T28:W28"/>
    <mergeCell ref="T29:W29"/>
    <mergeCell ref="T30:W30"/>
    <mergeCell ref="T31:W31"/>
    <mergeCell ref="T32:W32"/>
    <mergeCell ref="X28:AA28"/>
    <mergeCell ref="X29:AA29"/>
    <mergeCell ref="X30:AA30"/>
    <mergeCell ref="X31:AA31"/>
    <mergeCell ref="W52:Y52"/>
    <mergeCell ref="W51:Y51"/>
    <mergeCell ref="W50:Y50"/>
    <mergeCell ref="W49:Y49"/>
    <mergeCell ref="W48:Y48"/>
    <mergeCell ref="W47:Y47"/>
    <mergeCell ref="AC46:AD46"/>
    <mergeCell ref="Z45:AB45"/>
    <mergeCell ref="Z44:AB44"/>
    <mergeCell ref="AC45:AD45"/>
    <mergeCell ref="AC44:AD44"/>
    <mergeCell ref="L52:N52"/>
    <mergeCell ref="L51:N51"/>
    <mergeCell ref="L50:N50"/>
    <mergeCell ref="L49:N49"/>
    <mergeCell ref="L48:N48"/>
    <mergeCell ref="L47:N47"/>
    <mergeCell ref="Q45:S45"/>
    <mergeCell ref="O44:P44"/>
    <mergeCell ref="AC52:AD52"/>
    <mergeCell ref="AC51:AD51"/>
    <mergeCell ref="AC50:AD50"/>
    <mergeCell ref="AC49:AD49"/>
    <mergeCell ref="AC48:AD48"/>
    <mergeCell ref="AC47:AD47"/>
    <mergeCell ref="W46:Y46"/>
    <mergeCell ref="W45:Y45"/>
    <mergeCell ref="W44:Y44"/>
    <mergeCell ref="Z52:AB52"/>
    <mergeCell ref="Z51:AB51"/>
    <mergeCell ref="Z50:AB50"/>
    <mergeCell ref="Z49:AB49"/>
    <mergeCell ref="Z48:AB48"/>
    <mergeCell ref="Z47:AB47"/>
    <mergeCell ref="Z46:AB46"/>
    <mergeCell ref="J52:K52"/>
    <mergeCell ref="J51:K51"/>
    <mergeCell ref="J50:K50"/>
    <mergeCell ref="J49:K49"/>
    <mergeCell ref="J48:K48"/>
    <mergeCell ref="J47:K47"/>
    <mergeCell ref="J46:K46"/>
    <mergeCell ref="J45:K45"/>
    <mergeCell ref="F45:G45"/>
    <mergeCell ref="F52:G52"/>
    <mergeCell ref="F51:G51"/>
    <mergeCell ref="F50:G50"/>
    <mergeCell ref="F49:G49"/>
    <mergeCell ref="F48:G48"/>
    <mergeCell ref="F47:G47"/>
    <mergeCell ref="F46:G46"/>
    <mergeCell ref="T49:V49"/>
    <mergeCell ref="T48:V48"/>
    <mergeCell ref="T52:V52"/>
    <mergeCell ref="T51:V51"/>
    <mergeCell ref="T50:V50"/>
    <mergeCell ref="T47:V47"/>
    <mergeCell ref="T46:V46"/>
    <mergeCell ref="T45:V45"/>
    <mergeCell ref="O46:P46"/>
    <mergeCell ref="O45:P45"/>
    <mergeCell ref="O52:P52"/>
    <mergeCell ref="O51:P51"/>
    <mergeCell ref="O50:P50"/>
    <mergeCell ref="O49:P49"/>
    <mergeCell ref="O48:P48"/>
    <mergeCell ref="O47:P47"/>
    <mergeCell ref="Q52:S52"/>
    <mergeCell ref="Q51:S51"/>
    <mergeCell ref="Q50:S50"/>
    <mergeCell ref="Q49:S49"/>
    <mergeCell ref="Q48:S48"/>
    <mergeCell ref="Q47:S47"/>
    <mergeCell ref="Q46:S46"/>
    <mergeCell ref="A52:C52"/>
    <mergeCell ref="D52:E52"/>
    <mergeCell ref="A49:C49"/>
    <mergeCell ref="D49:E49"/>
    <mergeCell ref="A50:C50"/>
    <mergeCell ref="D50:E50"/>
    <mergeCell ref="A51:C51"/>
    <mergeCell ref="D51:E51"/>
    <mergeCell ref="A46:C46"/>
    <mergeCell ref="D46:E46"/>
    <mergeCell ref="A47:C47"/>
    <mergeCell ref="D47:E47"/>
    <mergeCell ref="A48:C48"/>
    <mergeCell ref="D48:E48"/>
    <mergeCell ref="A30:C30"/>
    <mergeCell ref="A31:C31"/>
    <mergeCell ref="A32:C32"/>
    <mergeCell ref="D28:G28"/>
    <mergeCell ref="H28:K28"/>
    <mergeCell ref="L28:O28"/>
    <mergeCell ref="P28:S28"/>
    <mergeCell ref="D29:G29"/>
    <mergeCell ref="A45:C45"/>
    <mergeCell ref="D45:E45"/>
    <mergeCell ref="L44:N44"/>
    <mergeCell ref="D32:G32"/>
    <mergeCell ref="H32:K32"/>
    <mergeCell ref="L32:O32"/>
    <mergeCell ref="P32:S32"/>
    <mergeCell ref="L31:O31"/>
    <mergeCell ref="P31:S31"/>
    <mergeCell ref="F34:M34"/>
    <mergeCell ref="B25:Y25"/>
    <mergeCell ref="AI23:AK23"/>
    <mergeCell ref="AI21:AK21"/>
    <mergeCell ref="AI19:AK19"/>
    <mergeCell ref="AI17:AN17"/>
    <mergeCell ref="AG15:AI15"/>
    <mergeCell ref="AJ15:AK15"/>
    <mergeCell ref="A28:C28"/>
    <mergeCell ref="A29:C29"/>
    <mergeCell ref="A26:C26"/>
    <mergeCell ref="A27:C27"/>
    <mergeCell ref="A18:C18"/>
    <mergeCell ref="A19:C19"/>
    <mergeCell ref="A20:C20"/>
    <mergeCell ref="A21:C21"/>
    <mergeCell ref="A22:C22"/>
    <mergeCell ref="A23:C23"/>
    <mergeCell ref="D18:G18"/>
    <mergeCell ref="H18:K18"/>
    <mergeCell ref="D22:G22"/>
    <mergeCell ref="D23:G23"/>
    <mergeCell ref="H19:K19"/>
    <mergeCell ref="L19:O19"/>
    <mergeCell ref="P19:S19"/>
    <mergeCell ref="AL7:AM7"/>
    <mergeCell ref="AG8:AI8"/>
    <mergeCell ref="AJ8:AK8"/>
    <mergeCell ref="AG9:AI9"/>
    <mergeCell ref="AJ9:AK9"/>
    <mergeCell ref="AG10:AI10"/>
    <mergeCell ref="AJ10:AK10"/>
    <mergeCell ref="AG11:AI11"/>
    <mergeCell ref="AI32:AK32"/>
    <mergeCell ref="AL32:AN32"/>
    <mergeCell ref="AI29:AK29"/>
    <mergeCell ref="AL29:AN29"/>
    <mergeCell ref="AI28:AK28"/>
    <mergeCell ref="AL28:AN28"/>
    <mergeCell ref="AG7:AK7"/>
    <mergeCell ref="AL23:AN23"/>
    <mergeCell ref="AL19:AN19"/>
    <mergeCell ref="AL21:AN21"/>
    <mergeCell ref="AP29:AR29"/>
    <mergeCell ref="AS29:AU29"/>
    <mergeCell ref="AP32:AR32"/>
    <mergeCell ref="AS32:AU32"/>
    <mergeCell ref="AI31:AK31"/>
    <mergeCell ref="AL31:AN31"/>
    <mergeCell ref="AP31:AR31"/>
    <mergeCell ref="AS31:AU31"/>
    <mergeCell ref="AI30:AK30"/>
    <mergeCell ref="AL30:AN30"/>
    <mergeCell ref="AP30:AR30"/>
    <mergeCell ref="AS30:AU30"/>
    <mergeCell ref="AP23:AR23"/>
    <mergeCell ref="AS23:AU23"/>
    <mergeCell ref="AI22:AK22"/>
    <mergeCell ref="AL22:AN22"/>
    <mergeCell ref="AP22:AR22"/>
    <mergeCell ref="AS22:AU22"/>
    <mergeCell ref="AP28:AR28"/>
    <mergeCell ref="AS28:AU28"/>
    <mergeCell ref="AP26:AU26"/>
    <mergeCell ref="AI27:AK27"/>
    <mergeCell ref="AL27:AN27"/>
    <mergeCell ref="AP27:AR27"/>
    <mergeCell ref="AI25:AK25"/>
    <mergeCell ref="AL25:AN25"/>
    <mergeCell ref="AP25:AR25"/>
    <mergeCell ref="AS25:AU25"/>
    <mergeCell ref="AS27:AU27"/>
    <mergeCell ref="AP21:AR21"/>
    <mergeCell ref="AS21:AU21"/>
    <mergeCell ref="AI20:AK20"/>
    <mergeCell ref="AL20:AN20"/>
    <mergeCell ref="AP20:AR20"/>
    <mergeCell ref="AS20:AU20"/>
    <mergeCell ref="D9:E9"/>
    <mergeCell ref="G9:H9"/>
    <mergeCell ref="X9:AA9"/>
    <mergeCell ref="AJ11:AK11"/>
    <mergeCell ref="AG12:AI12"/>
    <mergeCell ref="AJ12:AK12"/>
    <mergeCell ref="AG13:AI13"/>
    <mergeCell ref="AJ13:AK13"/>
    <mergeCell ref="B16:Y16"/>
    <mergeCell ref="AP17:AU17"/>
    <mergeCell ref="P20:S20"/>
    <mergeCell ref="L21:O21"/>
    <mergeCell ref="P21:S21"/>
    <mergeCell ref="AB20:AE20"/>
    <mergeCell ref="AB21:AE21"/>
    <mergeCell ref="H14:N14"/>
    <mergeCell ref="A17:C17"/>
    <mergeCell ref="D8:K8"/>
    <mergeCell ref="AP19:AR19"/>
    <mergeCell ref="AS19:AU19"/>
    <mergeCell ref="AI18:AK18"/>
    <mergeCell ref="AL18:AN18"/>
    <mergeCell ref="AP18:AR18"/>
    <mergeCell ref="AS18:AU18"/>
    <mergeCell ref="T13:Z13"/>
    <mergeCell ref="P9:Q9"/>
    <mergeCell ref="I9:K9"/>
    <mergeCell ref="AB17:AE18"/>
    <mergeCell ref="AB19:AE19"/>
    <mergeCell ref="H12:N12"/>
    <mergeCell ref="T12:Z12"/>
    <mergeCell ref="H13:N13"/>
    <mergeCell ref="T7:AC7"/>
    <mergeCell ref="A1:K2"/>
    <mergeCell ref="A3:K3"/>
    <mergeCell ref="A4:K4"/>
    <mergeCell ref="Q1:U1"/>
    <mergeCell ref="AA2:AE2"/>
    <mergeCell ref="Q2:U2"/>
    <mergeCell ref="R3:S3"/>
    <mergeCell ref="U3:V3"/>
    <mergeCell ref="F5:AC5"/>
    <mergeCell ref="F6:AC6"/>
    <mergeCell ref="F7:O7"/>
    <mergeCell ref="O10:AC10"/>
    <mergeCell ref="L8:N8"/>
    <mergeCell ref="O8:V8"/>
    <mergeCell ref="W8:X8"/>
    <mergeCell ref="Y8:AC8"/>
    <mergeCell ref="D17:S17"/>
    <mergeCell ref="T17:W18"/>
    <mergeCell ref="T19:W19"/>
    <mergeCell ref="T20:W20"/>
    <mergeCell ref="T21:W21"/>
    <mergeCell ref="T22:W22"/>
    <mergeCell ref="T23:W23"/>
    <mergeCell ref="X17:AA18"/>
    <mergeCell ref="X19:AA19"/>
    <mergeCell ref="X20:AA20"/>
    <mergeCell ref="X21:AA21"/>
    <mergeCell ref="X22:AA22"/>
    <mergeCell ref="X23:AA23"/>
    <mergeCell ref="L18:O18"/>
    <mergeCell ref="P18:S18"/>
    <mergeCell ref="H20:K20"/>
    <mergeCell ref="L20:O20"/>
    <mergeCell ref="H22:K22"/>
    <mergeCell ref="L22:O22"/>
    <mergeCell ref="P22:S22"/>
    <mergeCell ref="X32:AA32"/>
    <mergeCell ref="AB28:AE28"/>
    <mergeCell ref="AB29:AE29"/>
    <mergeCell ref="AB30:AE30"/>
    <mergeCell ref="AB31:AE31"/>
    <mergeCell ref="AB32:AE32"/>
    <mergeCell ref="H29:K29"/>
    <mergeCell ref="L29:O29"/>
    <mergeCell ref="D19:G19"/>
    <mergeCell ref="D20:G20"/>
    <mergeCell ref="D21:G21"/>
    <mergeCell ref="P29:S29"/>
    <mergeCell ref="D30:G30"/>
    <mergeCell ref="H30:K30"/>
    <mergeCell ref="L30:O30"/>
    <mergeCell ref="P30:S30"/>
    <mergeCell ref="D31:G31"/>
    <mergeCell ref="H31:K31"/>
    <mergeCell ref="H23:K23"/>
    <mergeCell ref="L23:O23"/>
    <mergeCell ref="P23:S23"/>
    <mergeCell ref="H21:K21"/>
    <mergeCell ref="AB23:AE23"/>
    <mergeCell ref="AB22:AE22"/>
  </mergeCells>
  <conditionalFormatting sqref="A45:C52 F45:F52 O45:O52 AC45:AC52 J45:J52 L45:L52 Q45:Q52 T45:T52 W45:W52 Z45:Z52 AN8:AU15 AL8:AL15 AG8:AI15">
    <cfRule type="cellIs" dxfId="2" priority="5" stopIfTrue="1" operator="greaterThan">
      <formula>1</formula>
    </cfRule>
    <cfRule type="cellIs" dxfId="1" priority="6" stopIfTrue="1" operator="lessThanOrEqual">
      <formula>1</formula>
    </cfRule>
  </conditionalFormatting>
  <conditionalFormatting sqref="F45:F52 AL8:AL15">
    <cfRule type="cellIs" dxfId="0" priority="4" operator="equal">
      <formula>""</formula>
    </cfRule>
  </conditionalFormatting>
  <dataValidations count="1">
    <dataValidation type="list" allowBlank="1" showInputMessage="1" showErrorMessage="1" sqref="F34:M34">
      <formula1>$G$37:$G$41</formula1>
    </dataValidation>
  </dataValidations>
  <pageMargins left="0.31496062992125984" right="0.31496062992125984" top="0.74803149606299213" bottom="0.15748031496062992" header="0.31496062992125984" footer="0.31496062992125984"/>
  <pageSetup paperSize="9" scale="97" orientation="portrait" horizontalDpi="360" verticalDpi="360" r:id="rId1"/>
  <headerFooter>
    <oddFooter>&amp;R&amp;"Gulim,Regular"&amp;10SP-FMM-04-05 Rev.1
Effective date :01-Apr-2017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23</xdr:col>
                    <xdr:colOff>171450</xdr:colOff>
                    <xdr:row>3</xdr:row>
                    <xdr:rowOff>95250</xdr:rowOff>
                  </from>
                  <to>
                    <xdr:col>24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15</xdr:col>
                    <xdr:colOff>171450</xdr:colOff>
                    <xdr:row>3</xdr:row>
                    <xdr:rowOff>76200</xdr:rowOff>
                  </from>
                  <to>
                    <xdr:col>16</xdr:col>
                    <xdr:colOff>152400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190500</xdr:colOff>
                    <xdr:row>10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zoomScaleNormal="100" zoomScaleSheetLayoutView="100" workbookViewId="0">
      <selection activeCell="S13" sqref="S13"/>
    </sheetView>
  </sheetViews>
  <sheetFormatPr defaultColWidth="9.140625" defaultRowHeight="20.25"/>
  <cols>
    <col min="1" max="9" width="3.7109375" style="50" customWidth="1"/>
    <col min="10" max="13" width="3.42578125" style="50" customWidth="1"/>
    <col min="14" max="14" width="3.7109375" style="50" customWidth="1"/>
    <col min="15" max="21" width="3.42578125" style="50" customWidth="1"/>
    <col min="22" max="22" width="3.7109375" style="50" customWidth="1"/>
    <col min="23" max="28" width="3.42578125" style="50" customWidth="1"/>
    <col min="29" max="31" width="3.7109375" style="50" customWidth="1"/>
    <col min="32" max="256" width="9.140625" style="50"/>
    <col min="257" max="265" width="3.7109375" style="50" customWidth="1"/>
    <col min="266" max="269" width="3.42578125" style="50" customWidth="1"/>
    <col min="270" max="270" width="3.7109375" style="50" customWidth="1"/>
    <col min="271" max="277" width="3.42578125" style="50" customWidth="1"/>
    <col min="278" max="278" width="3.7109375" style="50" customWidth="1"/>
    <col min="279" max="284" width="3.42578125" style="50" customWidth="1"/>
    <col min="285" max="287" width="3.7109375" style="50" customWidth="1"/>
    <col min="288" max="512" width="9.140625" style="50"/>
    <col min="513" max="521" width="3.7109375" style="50" customWidth="1"/>
    <col min="522" max="525" width="3.42578125" style="50" customWidth="1"/>
    <col min="526" max="526" width="3.7109375" style="50" customWidth="1"/>
    <col min="527" max="533" width="3.42578125" style="50" customWidth="1"/>
    <col min="534" max="534" width="3.7109375" style="50" customWidth="1"/>
    <col min="535" max="540" width="3.42578125" style="50" customWidth="1"/>
    <col min="541" max="543" width="3.7109375" style="50" customWidth="1"/>
    <col min="544" max="768" width="9.140625" style="50"/>
    <col min="769" max="777" width="3.7109375" style="50" customWidth="1"/>
    <col min="778" max="781" width="3.42578125" style="50" customWidth="1"/>
    <col min="782" max="782" width="3.7109375" style="50" customWidth="1"/>
    <col min="783" max="789" width="3.42578125" style="50" customWidth="1"/>
    <col min="790" max="790" width="3.7109375" style="50" customWidth="1"/>
    <col min="791" max="796" width="3.42578125" style="50" customWidth="1"/>
    <col min="797" max="799" width="3.7109375" style="50" customWidth="1"/>
    <col min="800" max="1024" width="9.140625" style="50"/>
    <col min="1025" max="1033" width="3.7109375" style="50" customWidth="1"/>
    <col min="1034" max="1037" width="3.42578125" style="50" customWidth="1"/>
    <col min="1038" max="1038" width="3.7109375" style="50" customWidth="1"/>
    <col min="1039" max="1045" width="3.42578125" style="50" customWidth="1"/>
    <col min="1046" max="1046" width="3.7109375" style="50" customWidth="1"/>
    <col min="1047" max="1052" width="3.42578125" style="50" customWidth="1"/>
    <col min="1053" max="1055" width="3.7109375" style="50" customWidth="1"/>
    <col min="1056" max="1280" width="9.140625" style="50"/>
    <col min="1281" max="1289" width="3.7109375" style="50" customWidth="1"/>
    <col min="1290" max="1293" width="3.42578125" style="50" customWidth="1"/>
    <col min="1294" max="1294" width="3.7109375" style="50" customWidth="1"/>
    <col min="1295" max="1301" width="3.42578125" style="50" customWidth="1"/>
    <col min="1302" max="1302" width="3.7109375" style="50" customWidth="1"/>
    <col min="1303" max="1308" width="3.42578125" style="50" customWidth="1"/>
    <col min="1309" max="1311" width="3.7109375" style="50" customWidth="1"/>
    <col min="1312" max="1536" width="9.140625" style="50"/>
    <col min="1537" max="1545" width="3.7109375" style="50" customWidth="1"/>
    <col min="1546" max="1549" width="3.42578125" style="50" customWidth="1"/>
    <col min="1550" max="1550" width="3.7109375" style="50" customWidth="1"/>
    <col min="1551" max="1557" width="3.42578125" style="50" customWidth="1"/>
    <col min="1558" max="1558" width="3.7109375" style="50" customWidth="1"/>
    <col min="1559" max="1564" width="3.42578125" style="50" customWidth="1"/>
    <col min="1565" max="1567" width="3.7109375" style="50" customWidth="1"/>
    <col min="1568" max="1792" width="9.140625" style="50"/>
    <col min="1793" max="1801" width="3.7109375" style="50" customWidth="1"/>
    <col min="1802" max="1805" width="3.42578125" style="50" customWidth="1"/>
    <col min="1806" max="1806" width="3.7109375" style="50" customWidth="1"/>
    <col min="1807" max="1813" width="3.42578125" style="50" customWidth="1"/>
    <col min="1814" max="1814" width="3.7109375" style="50" customWidth="1"/>
    <col min="1815" max="1820" width="3.42578125" style="50" customWidth="1"/>
    <col min="1821" max="1823" width="3.7109375" style="50" customWidth="1"/>
    <col min="1824" max="2048" width="9.140625" style="50"/>
    <col min="2049" max="2057" width="3.7109375" style="50" customWidth="1"/>
    <col min="2058" max="2061" width="3.42578125" style="50" customWidth="1"/>
    <col min="2062" max="2062" width="3.7109375" style="50" customWidth="1"/>
    <col min="2063" max="2069" width="3.42578125" style="50" customWidth="1"/>
    <col min="2070" max="2070" width="3.7109375" style="50" customWidth="1"/>
    <col min="2071" max="2076" width="3.42578125" style="50" customWidth="1"/>
    <col min="2077" max="2079" width="3.7109375" style="50" customWidth="1"/>
    <col min="2080" max="2304" width="9.140625" style="50"/>
    <col min="2305" max="2313" width="3.7109375" style="50" customWidth="1"/>
    <col min="2314" max="2317" width="3.42578125" style="50" customWidth="1"/>
    <col min="2318" max="2318" width="3.7109375" style="50" customWidth="1"/>
    <col min="2319" max="2325" width="3.42578125" style="50" customWidth="1"/>
    <col min="2326" max="2326" width="3.7109375" style="50" customWidth="1"/>
    <col min="2327" max="2332" width="3.42578125" style="50" customWidth="1"/>
    <col min="2333" max="2335" width="3.7109375" style="50" customWidth="1"/>
    <col min="2336" max="2560" width="9.140625" style="50"/>
    <col min="2561" max="2569" width="3.7109375" style="50" customWidth="1"/>
    <col min="2570" max="2573" width="3.42578125" style="50" customWidth="1"/>
    <col min="2574" max="2574" width="3.7109375" style="50" customWidth="1"/>
    <col min="2575" max="2581" width="3.42578125" style="50" customWidth="1"/>
    <col min="2582" max="2582" width="3.7109375" style="50" customWidth="1"/>
    <col min="2583" max="2588" width="3.42578125" style="50" customWidth="1"/>
    <col min="2589" max="2591" width="3.7109375" style="50" customWidth="1"/>
    <col min="2592" max="2816" width="9.140625" style="50"/>
    <col min="2817" max="2825" width="3.7109375" style="50" customWidth="1"/>
    <col min="2826" max="2829" width="3.42578125" style="50" customWidth="1"/>
    <col min="2830" max="2830" width="3.7109375" style="50" customWidth="1"/>
    <col min="2831" max="2837" width="3.42578125" style="50" customWidth="1"/>
    <col min="2838" max="2838" width="3.7109375" style="50" customWidth="1"/>
    <col min="2839" max="2844" width="3.42578125" style="50" customWidth="1"/>
    <col min="2845" max="2847" width="3.7109375" style="50" customWidth="1"/>
    <col min="2848" max="3072" width="9.140625" style="50"/>
    <col min="3073" max="3081" width="3.7109375" style="50" customWidth="1"/>
    <col min="3082" max="3085" width="3.42578125" style="50" customWidth="1"/>
    <col min="3086" max="3086" width="3.7109375" style="50" customWidth="1"/>
    <col min="3087" max="3093" width="3.42578125" style="50" customWidth="1"/>
    <col min="3094" max="3094" width="3.7109375" style="50" customWidth="1"/>
    <col min="3095" max="3100" width="3.42578125" style="50" customWidth="1"/>
    <col min="3101" max="3103" width="3.7109375" style="50" customWidth="1"/>
    <col min="3104" max="3328" width="9.140625" style="50"/>
    <col min="3329" max="3337" width="3.7109375" style="50" customWidth="1"/>
    <col min="3338" max="3341" width="3.42578125" style="50" customWidth="1"/>
    <col min="3342" max="3342" width="3.7109375" style="50" customWidth="1"/>
    <col min="3343" max="3349" width="3.42578125" style="50" customWidth="1"/>
    <col min="3350" max="3350" width="3.7109375" style="50" customWidth="1"/>
    <col min="3351" max="3356" width="3.42578125" style="50" customWidth="1"/>
    <col min="3357" max="3359" width="3.7109375" style="50" customWidth="1"/>
    <col min="3360" max="3584" width="9.140625" style="50"/>
    <col min="3585" max="3593" width="3.7109375" style="50" customWidth="1"/>
    <col min="3594" max="3597" width="3.42578125" style="50" customWidth="1"/>
    <col min="3598" max="3598" width="3.7109375" style="50" customWidth="1"/>
    <col min="3599" max="3605" width="3.42578125" style="50" customWidth="1"/>
    <col min="3606" max="3606" width="3.7109375" style="50" customWidth="1"/>
    <col min="3607" max="3612" width="3.42578125" style="50" customWidth="1"/>
    <col min="3613" max="3615" width="3.7109375" style="50" customWidth="1"/>
    <col min="3616" max="3840" width="9.140625" style="50"/>
    <col min="3841" max="3849" width="3.7109375" style="50" customWidth="1"/>
    <col min="3850" max="3853" width="3.42578125" style="50" customWidth="1"/>
    <col min="3854" max="3854" width="3.7109375" style="50" customWidth="1"/>
    <col min="3855" max="3861" width="3.42578125" style="50" customWidth="1"/>
    <col min="3862" max="3862" width="3.7109375" style="50" customWidth="1"/>
    <col min="3863" max="3868" width="3.42578125" style="50" customWidth="1"/>
    <col min="3869" max="3871" width="3.7109375" style="50" customWidth="1"/>
    <col min="3872" max="4096" width="9.140625" style="50"/>
    <col min="4097" max="4105" width="3.7109375" style="50" customWidth="1"/>
    <col min="4106" max="4109" width="3.42578125" style="50" customWidth="1"/>
    <col min="4110" max="4110" width="3.7109375" style="50" customWidth="1"/>
    <col min="4111" max="4117" width="3.42578125" style="50" customWidth="1"/>
    <col min="4118" max="4118" width="3.7109375" style="50" customWidth="1"/>
    <col min="4119" max="4124" width="3.42578125" style="50" customWidth="1"/>
    <col min="4125" max="4127" width="3.7109375" style="50" customWidth="1"/>
    <col min="4128" max="4352" width="9.140625" style="50"/>
    <col min="4353" max="4361" width="3.7109375" style="50" customWidth="1"/>
    <col min="4362" max="4365" width="3.42578125" style="50" customWidth="1"/>
    <col min="4366" max="4366" width="3.7109375" style="50" customWidth="1"/>
    <col min="4367" max="4373" width="3.42578125" style="50" customWidth="1"/>
    <col min="4374" max="4374" width="3.7109375" style="50" customWidth="1"/>
    <col min="4375" max="4380" width="3.42578125" style="50" customWidth="1"/>
    <col min="4381" max="4383" width="3.7109375" style="50" customWidth="1"/>
    <col min="4384" max="4608" width="9.140625" style="50"/>
    <col min="4609" max="4617" width="3.7109375" style="50" customWidth="1"/>
    <col min="4618" max="4621" width="3.42578125" style="50" customWidth="1"/>
    <col min="4622" max="4622" width="3.7109375" style="50" customWidth="1"/>
    <col min="4623" max="4629" width="3.42578125" style="50" customWidth="1"/>
    <col min="4630" max="4630" width="3.7109375" style="50" customWidth="1"/>
    <col min="4631" max="4636" width="3.42578125" style="50" customWidth="1"/>
    <col min="4637" max="4639" width="3.7109375" style="50" customWidth="1"/>
    <col min="4640" max="4864" width="9.140625" style="50"/>
    <col min="4865" max="4873" width="3.7109375" style="50" customWidth="1"/>
    <col min="4874" max="4877" width="3.42578125" style="50" customWidth="1"/>
    <col min="4878" max="4878" width="3.7109375" style="50" customWidth="1"/>
    <col min="4879" max="4885" width="3.42578125" style="50" customWidth="1"/>
    <col min="4886" max="4886" width="3.7109375" style="50" customWidth="1"/>
    <col min="4887" max="4892" width="3.42578125" style="50" customWidth="1"/>
    <col min="4893" max="4895" width="3.7109375" style="50" customWidth="1"/>
    <col min="4896" max="5120" width="9.140625" style="50"/>
    <col min="5121" max="5129" width="3.7109375" style="50" customWidth="1"/>
    <col min="5130" max="5133" width="3.42578125" style="50" customWidth="1"/>
    <col min="5134" max="5134" width="3.7109375" style="50" customWidth="1"/>
    <col min="5135" max="5141" width="3.42578125" style="50" customWidth="1"/>
    <col min="5142" max="5142" width="3.7109375" style="50" customWidth="1"/>
    <col min="5143" max="5148" width="3.42578125" style="50" customWidth="1"/>
    <col min="5149" max="5151" width="3.7109375" style="50" customWidth="1"/>
    <col min="5152" max="5376" width="9.140625" style="50"/>
    <col min="5377" max="5385" width="3.7109375" style="50" customWidth="1"/>
    <col min="5386" max="5389" width="3.42578125" style="50" customWidth="1"/>
    <col min="5390" max="5390" width="3.7109375" style="50" customWidth="1"/>
    <col min="5391" max="5397" width="3.42578125" style="50" customWidth="1"/>
    <col min="5398" max="5398" width="3.7109375" style="50" customWidth="1"/>
    <col min="5399" max="5404" width="3.42578125" style="50" customWidth="1"/>
    <col min="5405" max="5407" width="3.7109375" style="50" customWidth="1"/>
    <col min="5408" max="5632" width="9.140625" style="50"/>
    <col min="5633" max="5641" width="3.7109375" style="50" customWidth="1"/>
    <col min="5642" max="5645" width="3.42578125" style="50" customWidth="1"/>
    <col min="5646" max="5646" width="3.7109375" style="50" customWidth="1"/>
    <col min="5647" max="5653" width="3.42578125" style="50" customWidth="1"/>
    <col min="5654" max="5654" width="3.7109375" style="50" customWidth="1"/>
    <col min="5655" max="5660" width="3.42578125" style="50" customWidth="1"/>
    <col min="5661" max="5663" width="3.7109375" style="50" customWidth="1"/>
    <col min="5664" max="5888" width="9.140625" style="50"/>
    <col min="5889" max="5897" width="3.7109375" style="50" customWidth="1"/>
    <col min="5898" max="5901" width="3.42578125" style="50" customWidth="1"/>
    <col min="5902" max="5902" width="3.7109375" style="50" customWidth="1"/>
    <col min="5903" max="5909" width="3.42578125" style="50" customWidth="1"/>
    <col min="5910" max="5910" width="3.7109375" style="50" customWidth="1"/>
    <col min="5911" max="5916" width="3.42578125" style="50" customWidth="1"/>
    <col min="5917" max="5919" width="3.7109375" style="50" customWidth="1"/>
    <col min="5920" max="6144" width="9.140625" style="50"/>
    <col min="6145" max="6153" width="3.7109375" style="50" customWidth="1"/>
    <col min="6154" max="6157" width="3.42578125" style="50" customWidth="1"/>
    <col min="6158" max="6158" width="3.7109375" style="50" customWidth="1"/>
    <col min="6159" max="6165" width="3.42578125" style="50" customWidth="1"/>
    <col min="6166" max="6166" width="3.7109375" style="50" customWidth="1"/>
    <col min="6167" max="6172" width="3.42578125" style="50" customWidth="1"/>
    <col min="6173" max="6175" width="3.7109375" style="50" customWidth="1"/>
    <col min="6176" max="6400" width="9.140625" style="50"/>
    <col min="6401" max="6409" width="3.7109375" style="50" customWidth="1"/>
    <col min="6410" max="6413" width="3.42578125" style="50" customWidth="1"/>
    <col min="6414" max="6414" width="3.7109375" style="50" customWidth="1"/>
    <col min="6415" max="6421" width="3.42578125" style="50" customWidth="1"/>
    <col min="6422" max="6422" width="3.7109375" style="50" customWidth="1"/>
    <col min="6423" max="6428" width="3.42578125" style="50" customWidth="1"/>
    <col min="6429" max="6431" width="3.7109375" style="50" customWidth="1"/>
    <col min="6432" max="6656" width="9.140625" style="50"/>
    <col min="6657" max="6665" width="3.7109375" style="50" customWidth="1"/>
    <col min="6666" max="6669" width="3.42578125" style="50" customWidth="1"/>
    <col min="6670" max="6670" width="3.7109375" style="50" customWidth="1"/>
    <col min="6671" max="6677" width="3.42578125" style="50" customWidth="1"/>
    <col min="6678" max="6678" width="3.7109375" style="50" customWidth="1"/>
    <col min="6679" max="6684" width="3.42578125" style="50" customWidth="1"/>
    <col min="6685" max="6687" width="3.7109375" style="50" customWidth="1"/>
    <col min="6688" max="6912" width="9.140625" style="50"/>
    <col min="6913" max="6921" width="3.7109375" style="50" customWidth="1"/>
    <col min="6922" max="6925" width="3.42578125" style="50" customWidth="1"/>
    <col min="6926" max="6926" width="3.7109375" style="50" customWidth="1"/>
    <col min="6927" max="6933" width="3.42578125" style="50" customWidth="1"/>
    <col min="6934" max="6934" width="3.7109375" style="50" customWidth="1"/>
    <col min="6935" max="6940" width="3.42578125" style="50" customWidth="1"/>
    <col min="6941" max="6943" width="3.7109375" style="50" customWidth="1"/>
    <col min="6944" max="7168" width="9.140625" style="50"/>
    <col min="7169" max="7177" width="3.7109375" style="50" customWidth="1"/>
    <col min="7178" max="7181" width="3.42578125" style="50" customWidth="1"/>
    <col min="7182" max="7182" width="3.7109375" style="50" customWidth="1"/>
    <col min="7183" max="7189" width="3.42578125" style="50" customWidth="1"/>
    <col min="7190" max="7190" width="3.7109375" style="50" customWidth="1"/>
    <col min="7191" max="7196" width="3.42578125" style="50" customWidth="1"/>
    <col min="7197" max="7199" width="3.7109375" style="50" customWidth="1"/>
    <col min="7200" max="7424" width="9.140625" style="50"/>
    <col min="7425" max="7433" width="3.7109375" style="50" customWidth="1"/>
    <col min="7434" max="7437" width="3.42578125" style="50" customWidth="1"/>
    <col min="7438" max="7438" width="3.7109375" style="50" customWidth="1"/>
    <col min="7439" max="7445" width="3.42578125" style="50" customWidth="1"/>
    <col min="7446" max="7446" width="3.7109375" style="50" customWidth="1"/>
    <col min="7447" max="7452" width="3.42578125" style="50" customWidth="1"/>
    <col min="7453" max="7455" width="3.7109375" style="50" customWidth="1"/>
    <col min="7456" max="7680" width="9.140625" style="50"/>
    <col min="7681" max="7689" width="3.7109375" style="50" customWidth="1"/>
    <col min="7690" max="7693" width="3.42578125" style="50" customWidth="1"/>
    <col min="7694" max="7694" width="3.7109375" style="50" customWidth="1"/>
    <col min="7695" max="7701" width="3.42578125" style="50" customWidth="1"/>
    <col min="7702" max="7702" width="3.7109375" style="50" customWidth="1"/>
    <col min="7703" max="7708" width="3.42578125" style="50" customWidth="1"/>
    <col min="7709" max="7711" width="3.7109375" style="50" customWidth="1"/>
    <col min="7712" max="7936" width="9.140625" style="50"/>
    <col min="7937" max="7945" width="3.7109375" style="50" customWidth="1"/>
    <col min="7946" max="7949" width="3.42578125" style="50" customWidth="1"/>
    <col min="7950" max="7950" width="3.7109375" style="50" customWidth="1"/>
    <col min="7951" max="7957" width="3.42578125" style="50" customWidth="1"/>
    <col min="7958" max="7958" width="3.7109375" style="50" customWidth="1"/>
    <col min="7959" max="7964" width="3.42578125" style="50" customWidth="1"/>
    <col min="7965" max="7967" width="3.7109375" style="50" customWidth="1"/>
    <col min="7968" max="8192" width="9.140625" style="50"/>
    <col min="8193" max="8201" width="3.7109375" style="50" customWidth="1"/>
    <col min="8202" max="8205" width="3.42578125" style="50" customWidth="1"/>
    <col min="8206" max="8206" width="3.7109375" style="50" customWidth="1"/>
    <col min="8207" max="8213" width="3.42578125" style="50" customWidth="1"/>
    <col min="8214" max="8214" width="3.7109375" style="50" customWidth="1"/>
    <col min="8215" max="8220" width="3.42578125" style="50" customWidth="1"/>
    <col min="8221" max="8223" width="3.7109375" style="50" customWidth="1"/>
    <col min="8224" max="8448" width="9.140625" style="50"/>
    <col min="8449" max="8457" width="3.7109375" style="50" customWidth="1"/>
    <col min="8458" max="8461" width="3.42578125" style="50" customWidth="1"/>
    <col min="8462" max="8462" width="3.7109375" style="50" customWidth="1"/>
    <col min="8463" max="8469" width="3.42578125" style="50" customWidth="1"/>
    <col min="8470" max="8470" width="3.7109375" style="50" customWidth="1"/>
    <col min="8471" max="8476" width="3.42578125" style="50" customWidth="1"/>
    <col min="8477" max="8479" width="3.7109375" style="50" customWidth="1"/>
    <col min="8480" max="8704" width="9.140625" style="50"/>
    <col min="8705" max="8713" width="3.7109375" style="50" customWidth="1"/>
    <col min="8714" max="8717" width="3.42578125" style="50" customWidth="1"/>
    <col min="8718" max="8718" width="3.7109375" style="50" customWidth="1"/>
    <col min="8719" max="8725" width="3.42578125" style="50" customWidth="1"/>
    <col min="8726" max="8726" width="3.7109375" style="50" customWidth="1"/>
    <col min="8727" max="8732" width="3.42578125" style="50" customWidth="1"/>
    <col min="8733" max="8735" width="3.7109375" style="50" customWidth="1"/>
    <col min="8736" max="8960" width="9.140625" style="50"/>
    <col min="8961" max="8969" width="3.7109375" style="50" customWidth="1"/>
    <col min="8970" max="8973" width="3.42578125" style="50" customWidth="1"/>
    <col min="8974" max="8974" width="3.7109375" style="50" customWidth="1"/>
    <col min="8975" max="8981" width="3.42578125" style="50" customWidth="1"/>
    <col min="8982" max="8982" width="3.7109375" style="50" customWidth="1"/>
    <col min="8983" max="8988" width="3.42578125" style="50" customWidth="1"/>
    <col min="8989" max="8991" width="3.7109375" style="50" customWidth="1"/>
    <col min="8992" max="9216" width="9.140625" style="50"/>
    <col min="9217" max="9225" width="3.7109375" style="50" customWidth="1"/>
    <col min="9226" max="9229" width="3.42578125" style="50" customWidth="1"/>
    <col min="9230" max="9230" width="3.7109375" style="50" customWidth="1"/>
    <col min="9231" max="9237" width="3.42578125" style="50" customWidth="1"/>
    <col min="9238" max="9238" width="3.7109375" style="50" customWidth="1"/>
    <col min="9239" max="9244" width="3.42578125" style="50" customWidth="1"/>
    <col min="9245" max="9247" width="3.7109375" style="50" customWidth="1"/>
    <col min="9248" max="9472" width="9.140625" style="50"/>
    <col min="9473" max="9481" width="3.7109375" style="50" customWidth="1"/>
    <col min="9482" max="9485" width="3.42578125" style="50" customWidth="1"/>
    <col min="9486" max="9486" width="3.7109375" style="50" customWidth="1"/>
    <col min="9487" max="9493" width="3.42578125" style="50" customWidth="1"/>
    <col min="9494" max="9494" width="3.7109375" style="50" customWidth="1"/>
    <col min="9495" max="9500" width="3.42578125" style="50" customWidth="1"/>
    <col min="9501" max="9503" width="3.7109375" style="50" customWidth="1"/>
    <col min="9504" max="9728" width="9.140625" style="50"/>
    <col min="9729" max="9737" width="3.7109375" style="50" customWidth="1"/>
    <col min="9738" max="9741" width="3.42578125" style="50" customWidth="1"/>
    <col min="9742" max="9742" width="3.7109375" style="50" customWidth="1"/>
    <col min="9743" max="9749" width="3.42578125" style="50" customWidth="1"/>
    <col min="9750" max="9750" width="3.7109375" style="50" customWidth="1"/>
    <col min="9751" max="9756" width="3.42578125" style="50" customWidth="1"/>
    <col min="9757" max="9759" width="3.7109375" style="50" customWidth="1"/>
    <col min="9760" max="9984" width="9.140625" style="50"/>
    <col min="9985" max="9993" width="3.7109375" style="50" customWidth="1"/>
    <col min="9994" max="9997" width="3.42578125" style="50" customWidth="1"/>
    <col min="9998" max="9998" width="3.7109375" style="50" customWidth="1"/>
    <col min="9999" max="10005" width="3.42578125" style="50" customWidth="1"/>
    <col min="10006" max="10006" width="3.7109375" style="50" customWidth="1"/>
    <col min="10007" max="10012" width="3.42578125" style="50" customWidth="1"/>
    <col min="10013" max="10015" width="3.7109375" style="50" customWidth="1"/>
    <col min="10016" max="10240" width="9.140625" style="50"/>
    <col min="10241" max="10249" width="3.7109375" style="50" customWidth="1"/>
    <col min="10250" max="10253" width="3.42578125" style="50" customWidth="1"/>
    <col min="10254" max="10254" width="3.7109375" style="50" customWidth="1"/>
    <col min="10255" max="10261" width="3.42578125" style="50" customWidth="1"/>
    <col min="10262" max="10262" width="3.7109375" style="50" customWidth="1"/>
    <col min="10263" max="10268" width="3.42578125" style="50" customWidth="1"/>
    <col min="10269" max="10271" width="3.7109375" style="50" customWidth="1"/>
    <col min="10272" max="10496" width="9.140625" style="50"/>
    <col min="10497" max="10505" width="3.7109375" style="50" customWidth="1"/>
    <col min="10506" max="10509" width="3.42578125" style="50" customWidth="1"/>
    <col min="10510" max="10510" width="3.7109375" style="50" customWidth="1"/>
    <col min="10511" max="10517" width="3.42578125" style="50" customWidth="1"/>
    <col min="10518" max="10518" width="3.7109375" style="50" customWidth="1"/>
    <col min="10519" max="10524" width="3.42578125" style="50" customWidth="1"/>
    <col min="10525" max="10527" width="3.7109375" style="50" customWidth="1"/>
    <col min="10528" max="10752" width="9.140625" style="50"/>
    <col min="10753" max="10761" width="3.7109375" style="50" customWidth="1"/>
    <col min="10762" max="10765" width="3.42578125" style="50" customWidth="1"/>
    <col min="10766" max="10766" width="3.7109375" style="50" customWidth="1"/>
    <col min="10767" max="10773" width="3.42578125" style="50" customWidth="1"/>
    <col min="10774" max="10774" width="3.7109375" style="50" customWidth="1"/>
    <col min="10775" max="10780" width="3.42578125" style="50" customWidth="1"/>
    <col min="10781" max="10783" width="3.7109375" style="50" customWidth="1"/>
    <col min="10784" max="11008" width="9.140625" style="50"/>
    <col min="11009" max="11017" width="3.7109375" style="50" customWidth="1"/>
    <col min="11018" max="11021" width="3.42578125" style="50" customWidth="1"/>
    <col min="11022" max="11022" width="3.7109375" style="50" customWidth="1"/>
    <col min="11023" max="11029" width="3.42578125" style="50" customWidth="1"/>
    <col min="11030" max="11030" width="3.7109375" style="50" customWidth="1"/>
    <col min="11031" max="11036" width="3.42578125" style="50" customWidth="1"/>
    <col min="11037" max="11039" width="3.7109375" style="50" customWidth="1"/>
    <col min="11040" max="11264" width="9.140625" style="50"/>
    <col min="11265" max="11273" width="3.7109375" style="50" customWidth="1"/>
    <col min="11274" max="11277" width="3.42578125" style="50" customWidth="1"/>
    <col min="11278" max="11278" width="3.7109375" style="50" customWidth="1"/>
    <col min="11279" max="11285" width="3.42578125" style="50" customWidth="1"/>
    <col min="11286" max="11286" width="3.7109375" style="50" customWidth="1"/>
    <col min="11287" max="11292" width="3.42578125" style="50" customWidth="1"/>
    <col min="11293" max="11295" width="3.7109375" style="50" customWidth="1"/>
    <col min="11296" max="11520" width="9.140625" style="50"/>
    <col min="11521" max="11529" width="3.7109375" style="50" customWidth="1"/>
    <col min="11530" max="11533" width="3.42578125" style="50" customWidth="1"/>
    <col min="11534" max="11534" width="3.7109375" style="50" customWidth="1"/>
    <col min="11535" max="11541" width="3.42578125" style="50" customWidth="1"/>
    <col min="11542" max="11542" width="3.7109375" style="50" customWidth="1"/>
    <col min="11543" max="11548" width="3.42578125" style="50" customWidth="1"/>
    <col min="11549" max="11551" width="3.7109375" style="50" customWidth="1"/>
    <col min="11552" max="11776" width="9.140625" style="50"/>
    <col min="11777" max="11785" width="3.7109375" style="50" customWidth="1"/>
    <col min="11786" max="11789" width="3.42578125" style="50" customWidth="1"/>
    <col min="11790" max="11790" width="3.7109375" style="50" customWidth="1"/>
    <col min="11791" max="11797" width="3.42578125" style="50" customWidth="1"/>
    <col min="11798" max="11798" width="3.7109375" style="50" customWidth="1"/>
    <col min="11799" max="11804" width="3.42578125" style="50" customWidth="1"/>
    <col min="11805" max="11807" width="3.7109375" style="50" customWidth="1"/>
    <col min="11808" max="12032" width="9.140625" style="50"/>
    <col min="12033" max="12041" width="3.7109375" style="50" customWidth="1"/>
    <col min="12042" max="12045" width="3.42578125" style="50" customWidth="1"/>
    <col min="12046" max="12046" width="3.7109375" style="50" customWidth="1"/>
    <col min="12047" max="12053" width="3.42578125" style="50" customWidth="1"/>
    <col min="12054" max="12054" width="3.7109375" style="50" customWidth="1"/>
    <col min="12055" max="12060" width="3.42578125" style="50" customWidth="1"/>
    <col min="12061" max="12063" width="3.7109375" style="50" customWidth="1"/>
    <col min="12064" max="12288" width="9.140625" style="50"/>
    <col min="12289" max="12297" width="3.7109375" style="50" customWidth="1"/>
    <col min="12298" max="12301" width="3.42578125" style="50" customWidth="1"/>
    <col min="12302" max="12302" width="3.7109375" style="50" customWidth="1"/>
    <col min="12303" max="12309" width="3.42578125" style="50" customWidth="1"/>
    <col min="12310" max="12310" width="3.7109375" style="50" customWidth="1"/>
    <col min="12311" max="12316" width="3.42578125" style="50" customWidth="1"/>
    <col min="12317" max="12319" width="3.7109375" style="50" customWidth="1"/>
    <col min="12320" max="12544" width="9.140625" style="50"/>
    <col min="12545" max="12553" width="3.7109375" style="50" customWidth="1"/>
    <col min="12554" max="12557" width="3.42578125" style="50" customWidth="1"/>
    <col min="12558" max="12558" width="3.7109375" style="50" customWidth="1"/>
    <col min="12559" max="12565" width="3.42578125" style="50" customWidth="1"/>
    <col min="12566" max="12566" width="3.7109375" style="50" customWidth="1"/>
    <col min="12567" max="12572" width="3.42578125" style="50" customWidth="1"/>
    <col min="12573" max="12575" width="3.7109375" style="50" customWidth="1"/>
    <col min="12576" max="12800" width="9.140625" style="50"/>
    <col min="12801" max="12809" width="3.7109375" style="50" customWidth="1"/>
    <col min="12810" max="12813" width="3.42578125" style="50" customWidth="1"/>
    <col min="12814" max="12814" width="3.7109375" style="50" customWidth="1"/>
    <col min="12815" max="12821" width="3.42578125" style="50" customWidth="1"/>
    <col min="12822" max="12822" width="3.7109375" style="50" customWidth="1"/>
    <col min="12823" max="12828" width="3.42578125" style="50" customWidth="1"/>
    <col min="12829" max="12831" width="3.7109375" style="50" customWidth="1"/>
    <col min="12832" max="13056" width="9.140625" style="50"/>
    <col min="13057" max="13065" width="3.7109375" style="50" customWidth="1"/>
    <col min="13066" max="13069" width="3.42578125" style="50" customWidth="1"/>
    <col min="13070" max="13070" width="3.7109375" style="50" customWidth="1"/>
    <col min="13071" max="13077" width="3.42578125" style="50" customWidth="1"/>
    <col min="13078" max="13078" width="3.7109375" style="50" customWidth="1"/>
    <col min="13079" max="13084" width="3.42578125" style="50" customWidth="1"/>
    <col min="13085" max="13087" width="3.7109375" style="50" customWidth="1"/>
    <col min="13088" max="13312" width="9.140625" style="50"/>
    <col min="13313" max="13321" width="3.7109375" style="50" customWidth="1"/>
    <col min="13322" max="13325" width="3.42578125" style="50" customWidth="1"/>
    <col min="13326" max="13326" width="3.7109375" style="50" customWidth="1"/>
    <col min="13327" max="13333" width="3.42578125" style="50" customWidth="1"/>
    <col min="13334" max="13334" width="3.7109375" style="50" customWidth="1"/>
    <col min="13335" max="13340" width="3.42578125" style="50" customWidth="1"/>
    <col min="13341" max="13343" width="3.7109375" style="50" customWidth="1"/>
    <col min="13344" max="13568" width="9.140625" style="50"/>
    <col min="13569" max="13577" width="3.7109375" style="50" customWidth="1"/>
    <col min="13578" max="13581" width="3.42578125" style="50" customWidth="1"/>
    <col min="13582" max="13582" width="3.7109375" style="50" customWidth="1"/>
    <col min="13583" max="13589" width="3.42578125" style="50" customWidth="1"/>
    <col min="13590" max="13590" width="3.7109375" style="50" customWidth="1"/>
    <col min="13591" max="13596" width="3.42578125" style="50" customWidth="1"/>
    <col min="13597" max="13599" width="3.7109375" style="50" customWidth="1"/>
    <col min="13600" max="13824" width="9.140625" style="50"/>
    <col min="13825" max="13833" width="3.7109375" style="50" customWidth="1"/>
    <col min="13834" max="13837" width="3.42578125" style="50" customWidth="1"/>
    <col min="13838" max="13838" width="3.7109375" style="50" customWidth="1"/>
    <col min="13839" max="13845" width="3.42578125" style="50" customWidth="1"/>
    <col min="13846" max="13846" width="3.7109375" style="50" customWidth="1"/>
    <col min="13847" max="13852" width="3.42578125" style="50" customWidth="1"/>
    <col min="13853" max="13855" width="3.7109375" style="50" customWidth="1"/>
    <col min="13856" max="14080" width="9.140625" style="50"/>
    <col min="14081" max="14089" width="3.7109375" style="50" customWidth="1"/>
    <col min="14090" max="14093" width="3.42578125" style="50" customWidth="1"/>
    <col min="14094" max="14094" width="3.7109375" style="50" customWidth="1"/>
    <col min="14095" max="14101" width="3.42578125" style="50" customWidth="1"/>
    <col min="14102" max="14102" width="3.7109375" style="50" customWidth="1"/>
    <col min="14103" max="14108" width="3.42578125" style="50" customWidth="1"/>
    <col min="14109" max="14111" width="3.7109375" style="50" customWidth="1"/>
    <col min="14112" max="14336" width="9.140625" style="50"/>
    <col min="14337" max="14345" width="3.7109375" style="50" customWidth="1"/>
    <col min="14346" max="14349" width="3.42578125" style="50" customWidth="1"/>
    <col min="14350" max="14350" width="3.7109375" style="50" customWidth="1"/>
    <col min="14351" max="14357" width="3.42578125" style="50" customWidth="1"/>
    <col min="14358" max="14358" width="3.7109375" style="50" customWidth="1"/>
    <col min="14359" max="14364" width="3.42578125" style="50" customWidth="1"/>
    <col min="14365" max="14367" width="3.7109375" style="50" customWidth="1"/>
    <col min="14368" max="14592" width="9.140625" style="50"/>
    <col min="14593" max="14601" width="3.7109375" style="50" customWidth="1"/>
    <col min="14602" max="14605" width="3.42578125" style="50" customWidth="1"/>
    <col min="14606" max="14606" width="3.7109375" style="50" customWidth="1"/>
    <col min="14607" max="14613" width="3.42578125" style="50" customWidth="1"/>
    <col min="14614" max="14614" width="3.7109375" style="50" customWidth="1"/>
    <col min="14615" max="14620" width="3.42578125" style="50" customWidth="1"/>
    <col min="14621" max="14623" width="3.7109375" style="50" customWidth="1"/>
    <col min="14624" max="14848" width="9.140625" style="50"/>
    <col min="14849" max="14857" width="3.7109375" style="50" customWidth="1"/>
    <col min="14858" max="14861" width="3.42578125" style="50" customWidth="1"/>
    <col min="14862" max="14862" width="3.7109375" style="50" customWidth="1"/>
    <col min="14863" max="14869" width="3.42578125" style="50" customWidth="1"/>
    <col min="14870" max="14870" width="3.7109375" style="50" customWidth="1"/>
    <col min="14871" max="14876" width="3.42578125" style="50" customWidth="1"/>
    <col min="14877" max="14879" width="3.7109375" style="50" customWidth="1"/>
    <col min="14880" max="15104" width="9.140625" style="50"/>
    <col min="15105" max="15113" width="3.7109375" style="50" customWidth="1"/>
    <col min="15114" max="15117" width="3.42578125" style="50" customWidth="1"/>
    <col min="15118" max="15118" width="3.7109375" style="50" customWidth="1"/>
    <col min="15119" max="15125" width="3.42578125" style="50" customWidth="1"/>
    <col min="15126" max="15126" width="3.7109375" style="50" customWidth="1"/>
    <col min="15127" max="15132" width="3.42578125" style="50" customWidth="1"/>
    <col min="15133" max="15135" width="3.7109375" style="50" customWidth="1"/>
    <col min="15136" max="15360" width="9.140625" style="50"/>
    <col min="15361" max="15369" width="3.7109375" style="50" customWidth="1"/>
    <col min="15370" max="15373" width="3.42578125" style="50" customWidth="1"/>
    <col min="15374" max="15374" width="3.7109375" style="50" customWidth="1"/>
    <col min="15375" max="15381" width="3.42578125" style="50" customWidth="1"/>
    <col min="15382" max="15382" width="3.7109375" style="50" customWidth="1"/>
    <col min="15383" max="15388" width="3.42578125" style="50" customWidth="1"/>
    <col min="15389" max="15391" width="3.7109375" style="50" customWidth="1"/>
    <col min="15392" max="15616" width="9.140625" style="50"/>
    <col min="15617" max="15625" width="3.7109375" style="50" customWidth="1"/>
    <col min="15626" max="15629" width="3.42578125" style="50" customWidth="1"/>
    <col min="15630" max="15630" width="3.7109375" style="50" customWidth="1"/>
    <col min="15631" max="15637" width="3.42578125" style="50" customWidth="1"/>
    <col min="15638" max="15638" width="3.7109375" style="50" customWidth="1"/>
    <col min="15639" max="15644" width="3.42578125" style="50" customWidth="1"/>
    <col min="15645" max="15647" width="3.7109375" style="50" customWidth="1"/>
    <col min="15648" max="15872" width="9.140625" style="50"/>
    <col min="15873" max="15881" width="3.7109375" style="50" customWidth="1"/>
    <col min="15882" max="15885" width="3.42578125" style="50" customWidth="1"/>
    <col min="15886" max="15886" width="3.7109375" style="50" customWidth="1"/>
    <col min="15887" max="15893" width="3.42578125" style="50" customWidth="1"/>
    <col min="15894" max="15894" width="3.7109375" style="50" customWidth="1"/>
    <col min="15895" max="15900" width="3.42578125" style="50" customWidth="1"/>
    <col min="15901" max="15903" width="3.7109375" style="50" customWidth="1"/>
    <col min="15904" max="16128" width="9.140625" style="50"/>
    <col min="16129" max="16137" width="3.7109375" style="50" customWidth="1"/>
    <col min="16138" max="16141" width="3.42578125" style="50" customWidth="1"/>
    <col min="16142" max="16142" width="3.7109375" style="50" customWidth="1"/>
    <col min="16143" max="16149" width="3.42578125" style="50" customWidth="1"/>
    <col min="16150" max="16150" width="3.7109375" style="50" customWidth="1"/>
    <col min="16151" max="16156" width="3.42578125" style="50" customWidth="1"/>
    <col min="16157" max="16159" width="3.7109375" style="50" customWidth="1"/>
    <col min="16160" max="16384" width="9.140625" style="50"/>
  </cols>
  <sheetData>
    <row r="1" spans="1:29" ht="13.5" customHeight="1"/>
    <row r="2" spans="1:29" ht="14.1" customHeight="1"/>
    <row r="3" spans="1:29" ht="35.450000000000003" customHeight="1">
      <c r="A3" s="392" t="s">
        <v>49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</row>
    <row r="4" spans="1:29" s="52" customFormat="1" ht="20.100000000000001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9" s="52" customFormat="1" ht="24" customHeight="1">
      <c r="A5" s="53"/>
      <c r="B5" s="53"/>
      <c r="C5" s="185" t="s">
        <v>50</v>
      </c>
      <c r="D5" s="185"/>
      <c r="E5" s="186"/>
      <c r="F5" s="185"/>
      <c r="G5" s="186"/>
      <c r="H5" s="186"/>
      <c r="I5" s="187" t="s">
        <v>51</v>
      </c>
      <c r="J5" s="188" t="str">
        <f>'Data '!Q1</f>
        <v>SPR16010078</v>
      </c>
      <c r="K5" s="189"/>
      <c r="L5" s="189"/>
      <c r="M5" s="188"/>
      <c r="N5" s="188"/>
      <c r="O5" s="188"/>
      <c r="P5" s="188"/>
      <c r="Q5" s="188"/>
      <c r="R5" s="189"/>
      <c r="S5" s="189"/>
      <c r="T5" s="189"/>
      <c r="U5" s="189"/>
      <c r="V5" s="189"/>
      <c r="W5" s="189"/>
      <c r="Z5" s="224" t="s">
        <v>117</v>
      </c>
    </row>
    <row r="6" spans="1:29" s="52" customFormat="1" ht="24" customHeight="1">
      <c r="A6" s="53"/>
      <c r="B6" s="53"/>
      <c r="C6" s="186"/>
      <c r="D6" s="186"/>
      <c r="E6" s="186"/>
      <c r="F6" s="185"/>
      <c r="G6" s="190"/>
      <c r="H6" s="190"/>
      <c r="I6" s="185"/>
      <c r="J6" s="188"/>
      <c r="K6" s="189"/>
      <c r="L6" s="189"/>
      <c r="M6" s="188"/>
      <c r="N6" s="188"/>
      <c r="O6" s="188"/>
      <c r="P6" s="188"/>
      <c r="Q6" s="188"/>
      <c r="R6" s="189"/>
      <c r="S6" s="189"/>
      <c r="T6" s="189"/>
      <c r="U6" s="189"/>
      <c r="V6" s="189"/>
      <c r="W6" s="189"/>
      <c r="X6" s="189"/>
    </row>
    <row r="7" spans="1:29" s="52" customFormat="1" ht="24" customHeight="1">
      <c r="A7" s="53"/>
      <c r="B7" s="53"/>
      <c r="C7" s="191" t="s">
        <v>52</v>
      </c>
      <c r="D7" s="191"/>
      <c r="E7" s="186"/>
      <c r="F7" s="186"/>
      <c r="G7" s="186"/>
      <c r="H7" s="186"/>
      <c r="I7" s="187" t="s">
        <v>51</v>
      </c>
      <c r="J7" s="192" t="str">
        <f>'Data '!F5</f>
        <v>SP</v>
      </c>
      <c r="K7" s="189"/>
      <c r="L7" s="189"/>
      <c r="M7" s="193"/>
      <c r="N7" s="193"/>
      <c r="O7" s="193"/>
      <c r="P7" s="193"/>
      <c r="Q7" s="193"/>
      <c r="R7" s="193"/>
      <c r="S7" s="193"/>
      <c r="T7" s="193"/>
      <c r="U7" s="193"/>
      <c r="V7" s="194"/>
      <c r="W7" s="194"/>
      <c r="X7" s="194"/>
      <c r="Y7" s="66"/>
      <c r="Z7" s="66"/>
      <c r="AA7" s="66"/>
    </row>
    <row r="8" spans="1:29" s="52" customFormat="1" ht="24" customHeight="1">
      <c r="A8" s="53"/>
      <c r="B8" s="53"/>
      <c r="C8" s="186"/>
      <c r="D8" s="191"/>
      <c r="E8" s="191"/>
      <c r="F8" s="186"/>
      <c r="G8" s="186"/>
      <c r="H8" s="186"/>
      <c r="I8" s="187"/>
      <c r="J8" s="195" t="str">
        <f>'Data '!F6</f>
        <v>88/115</v>
      </c>
      <c r="K8" s="189"/>
      <c r="L8" s="192"/>
      <c r="M8" s="196"/>
      <c r="N8" s="196"/>
      <c r="O8" s="193"/>
      <c r="P8" s="193"/>
      <c r="Q8" s="193"/>
      <c r="R8" s="193"/>
      <c r="S8" s="193"/>
      <c r="T8" s="193"/>
      <c r="U8" s="193"/>
      <c r="V8" s="193"/>
      <c r="W8" s="194"/>
      <c r="X8" s="194"/>
      <c r="Y8" s="65"/>
      <c r="Z8" s="65"/>
      <c r="AA8" s="65"/>
    </row>
    <row r="9" spans="1:29" s="52" customFormat="1" ht="24" customHeight="1">
      <c r="A9" s="53"/>
      <c r="B9" s="53"/>
      <c r="C9" s="55"/>
      <c r="D9" s="61"/>
      <c r="E9" s="61"/>
      <c r="F9" s="55"/>
      <c r="G9" s="55"/>
      <c r="H9" s="55"/>
      <c r="I9" s="55"/>
      <c r="J9" s="62"/>
      <c r="L9" s="62"/>
      <c r="M9" s="68"/>
      <c r="N9" s="68"/>
      <c r="O9" s="63"/>
      <c r="P9" s="63"/>
      <c r="Q9" s="63"/>
      <c r="R9" s="63"/>
      <c r="S9" s="63"/>
      <c r="T9" s="63"/>
      <c r="U9" s="63"/>
      <c r="V9" s="63"/>
      <c r="W9" s="64"/>
      <c r="X9" s="65"/>
      <c r="Y9" s="65"/>
      <c r="Z9" s="65"/>
      <c r="AA9" s="65"/>
    </row>
    <row r="10" spans="1:29" s="66" customFormat="1" ht="15" customHeight="1">
      <c r="A10" s="69"/>
      <c r="B10" s="69"/>
      <c r="C10" s="70"/>
      <c r="D10" s="70"/>
      <c r="E10" s="70"/>
      <c r="F10" s="70"/>
      <c r="G10" s="70"/>
      <c r="H10" s="71"/>
      <c r="I10" s="70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3"/>
      <c r="V10" s="73"/>
      <c r="W10" s="72"/>
      <c r="X10" s="197"/>
      <c r="Y10" s="198"/>
      <c r="Z10" s="198"/>
      <c r="AA10" s="198"/>
      <c r="AB10" s="212"/>
      <c r="AC10" s="212"/>
    </row>
    <row r="11" spans="1:29" s="52" customFormat="1" ht="15" customHeight="1">
      <c r="A11" s="53"/>
      <c r="B11" s="53"/>
      <c r="C11" s="61"/>
      <c r="D11" s="61"/>
      <c r="E11" s="61"/>
      <c r="F11" s="61"/>
      <c r="G11" s="61"/>
      <c r="H11" s="76"/>
      <c r="I11" s="199"/>
      <c r="J11" s="64"/>
      <c r="K11" s="68"/>
      <c r="L11" s="63"/>
      <c r="M11" s="63"/>
      <c r="N11" s="63"/>
      <c r="O11" s="63"/>
      <c r="P11" s="63"/>
      <c r="Q11" s="63"/>
      <c r="R11" s="63"/>
      <c r="S11" s="63"/>
      <c r="T11" s="63"/>
      <c r="U11" s="64"/>
      <c r="V11" s="64"/>
      <c r="W11" s="57"/>
      <c r="Y11" s="77"/>
      <c r="Z11" s="77"/>
      <c r="AA11" s="77"/>
    </row>
    <row r="12" spans="1:29" s="52" customFormat="1" ht="24" customHeight="1">
      <c r="A12" s="53"/>
      <c r="B12" s="53"/>
      <c r="C12" s="191" t="s">
        <v>53</v>
      </c>
      <c r="D12" s="61"/>
      <c r="E12" s="61"/>
      <c r="F12" s="61"/>
      <c r="G12" s="55"/>
      <c r="H12" s="55"/>
      <c r="I12" s="76" t="s">
        <v>51</v>
      </c>
      <c r="J12" s="192" t="str">
        <f>'Data '!F7</f>
        <v>Torque Tool</v>
      </c>
      <c r="K12" s="189"/>
      <c r="L12" s="192"/>
      <c r="M12" s="58"/>
      <c r="N12" s="58"/>
      <c r="P12" s="58"/>
      <c r="Q12" s="62"/>
      <c r="R12" s="62"/>
      <c r="S12" s="62"/>
      <c r="T12" s="62"/>
      <c r="U12" s="62"/>
      <c r="V12" s="62"/>
      <c r="W12" s="62"/>
      <c r="X12" s="78"/>
      <c r="Y12" s="78"/>
      <c r="Z12" s="78"/>
      <c r="AA12" s="78"/>
    </row>
    <row r="13" spans="1:29" s="52" customFormat="1" ht="24" customHeight="1">
      <c r="A13" s="53"/>
      <c r="B13" s="53"/>
      <c r="C13" s="200" t="s">
        <v>54</v>
      </c>
      <c r="D13" s="61"/>
      <c r="E13" s="61"/>
      <c r="F13" s="61"/>
      <c r="G13" s="55"/>
      <c r="H13" s="55"/>
      <c r="I13" s="76" t="s">
        <v>51</v>
      </c>
      <c r="J13" s="192" t="str">
        <f>'Data '!T7</f>
        <v>ISHI ISHI</v>
      </c>
      <c r="K13" s="189"/>
      <c r="L13" s="192"/>
      <c r="M13" s="58"/>
      <c r="N13" s="58"/>
      <c r="P13" s="58"/>
      <c r="Q13" s="62"/>
      <c r="R13" s="62"/>
      <c r="S13" s="58"/>
      <c r="T13" s="58"/>
      <c r="U13" s="58"/>
      <c r="V13" s="58"/>
      <c r="W13" s="58"/>
    </row>
    <row r="14" spans="1:29" s="52" customFormat="1" ht="24" customHeight="1">
      <c r="A14" s="53"/>
      <c r="B14" s="53"/>
      <c r="C14" s="191" t="s">
        <v>32</v>
      </c>
      <c r="D14" s="61"/>
      <c r="E14" s="61"/>
      <c r="F14" s="61"/>
      <c r="G14" s="55"/>
      <c r="H14" s="55"/>
      <c r="I14" s="76" t="s">
        <v>51</v>
      </c>
      <c r="J14" s="201" t="str">
        <f>'Data '!D8</f>
        <v>T ISHI</v>
      </c>
      <c r="K14" s="192"/>
      <c r="L14" s="192"/>
      <c r="M14" s="58"/>
      <c r="N14" s="58"/>
      <c r="P14" s="58"/>
      <c r="Q14" s="62"/>
      <c r="R14" s="62"/>
      <c r="S14" s="62"/>
      <c r="T14" s="62"/>
      <c r="U14" s="62"/>
      <c r="V14" s="61"/>
      <c r="W14" s="58"/>
      <c r="X14" s="78"/>
    </row>
    <row r="15" spans="1:29" s="52" customFormat="1" ht="24" customHeight="1">
      <c r="A15" s="53"/>
      <c r="B15" s="53"/>
      <c r="C15" s="191" t="s">
        <v>55</v>
      </c>
      <c r="D15" s="61"/>
      <c r="E15" s="61"/>
      <c r="F15" s="61"/>
      <c r="G15" s="55"/>
      <c r="H15" s="55"/>
      <c r="I15" s="76" t="s">
        <v>51</v>
      </c>
      <c r="J15" s="393" t="str">
        <f>'Data '!O8</f>
        <v>abcdefg</v>
      </c>
      <c r="K15" s="393"/>
      <c r="L15" s="393"/>
      <c r="M15" s="202"/>
      <c r="N15" s="202"/>
      <c r="P15" s="58"/>
      <c r="Q15" s="58"/>
      <c r="R15" s="62"/>
      <c r="S15" s="58"/>
      <c r="T15" s="58"/>
      <c r="U15" s="58"/>
      <c r="V15" s="58"/>
      <c r="W15" s="58"/>
    </row>
    <row r="16" spans="1:29" s="52" customFormat="1" ht="24" customHeight="1">
      <c r="A16" s="53"/>
      <c r="B16" s="53"/>
      <c r="C16" s="191" t="s">
        <v>56</v>
      </c>
      <c r="D16" s="61"/>
      <c r="E16" s="61"/>
      <c r="F16" s="61"/>
      <c r="G16" s="55"/>
      <c r="H16" s="55"/>
      <c r="I16" s="76" t="s">
        <v>51</v>
      </c>
      <c r="J16" s="203" t="str">
        <f>'Data '!Y8</f>
        <v>TQ110</v>
      </c>
      <c r="K16" s="192"/>
      <c r="L16" s="204"/>
      <c r="M16" s="58"/>
      <c r="N16" s="58"/>
      <c r="P16" s="58"/>
      <c r="Q16" s="58"/>
      <c r="R16" s="62"/>
      <c r="S16" s="62"/>
      <c r="T16" s="62"/>
      <c r="U16" s="62"/>
      <c r="V16" s="81"/>
      <c r="W16" s="58"/>
      <c r="X16" s="78"/>
    </row>
    <row r="17" spans="1:36" s="52" customFormat="1" ht="18.95" customHeight="1">
      <c r="A17" s="53"/>
      <c r="B17" s="53"/>
      <c r="C17" s="61"/>
      <c r="D17" s="61"/>
      <c r="E17" s="61"/>
      <c r="F17" s="61"/>
      <c r="G17" s="55"/>
      <c r="H17" s="55"/>
      <c r="I17" s="81"/>
      <c r="J17" s="183"/>
      <c r="K17" s="58"/>
      <c r="L17" s="58"/>
      <c r="M17" s="62"/>
      <c r="N17" s="62"/>
      <c r="P17" s="58"/>
      <c r="Q17" s="62"/>
      <c r="R17" s="62"/>
      <c r="S17" s="62"/>
      <c r="T17" s="81"/>
      <c r="U17" s="58"/>
      <c r="V17" s="62"/>
      <c r="W17" s="58"/>
    </row>
    <row r="18" spans="1:36" s="52" customFormat="1" ht="24" customHeight="1">
      <c r="A18" s="53"/>
      <c r="B18" s="53"/>
      <c r="C18" s="191" t="s">
        <v>60</v>
      </c>
      <c r="D18" s="191"/>
      <c r="E18" s="61"/>
      <c r="F18" s="61"/>
      <c r="G18" s="61"/>
      <c r="H18" s="61"/>
      <c r="I18" s="181"/>
      <c r="J18" s="62"/>
      <c r="K18" s="62"/>
      <c r="L18" s="55"/>
      <c r="M18" s="179"/>
      <c r="N18" s="179"/>
      <c r="W18" s="58"/>
    </row>
    <row r="19" spans="1:36" s="52" customFormat="1" ht="24" customHeight="1">
      <c r="A19" s="53"/>
      <c r="B19" s="53"/>
      <c r="C19" s="191" t="s">
        <v>61</v>
      </c>
      <c r="D19" s="191"/>
      <c r="E19" s="61"/>
      <c r="F19" s="61"/>
      <c r="G19" s="55"/>
      <c r="H19" s="55"/>
      <c r="J19" s="56" t="s">
        <v>51</v>
      </c>
      <c r="K19" s="205" t="s">
        <v>118</v>
      </c>
      <c r="L19" s="189"/>
      <c r="M19" s="179"/>
      <c r="R19" s="200" t="s">
        <v>57</v>
      </c>
      <c r="S19" s="55"/>
      <c r="Z19" s="76" t="s">
        <v>51</v>
      </c>
      <c r="AA19" s="396">
        <f>'Data '!Q2</f>
        <v>42380</v>
      </c>
      <c r="AB19" s="396"/>
      <c r="AC19" s="396"/>
      <c r="AD19" s="396"/>
    </row>
    <row r="20" spans="1:36" s="52" customFormat="1" ht="24" customHeight="1">
      <c r="A20" s="53"/>
      <c r="B20" s="53"/>
      <c r="C20" s="191" t="s">
        <v>62</v>
      </c>
      <c r="D20" s="185"/>
      <c r="E20" s="54"/>
      <c r="F20" s="54"/>
      <c r="G20" s="55"/>
      <c r="H20" s="55"/>
      <c r="J20" s="60" t="s">
        <v>51</v>
      </c>
      <c r="K20" s="206" t="s">
        <v>114</v>
      </c>
      <c r="L20" s="189"/>
      <c r="M20" s="180"/>
      <c r="R20" s="200" t="s">
        <v>58</v>
      </c>
      <c r="S20" s="55"/>
      <c r="Z20" s="76" t="s">
        <v>51</v>
      </c>
      <c r="AA20" s="396">
        <f>'Data '!AA2</f>
        <v>42380</v>
      </c>
      <c r="AB20" s="396"/>
      <c r="AC20" s="396"/>
      <c r="AD20" s="396"/>
    </row>
    <row r="21" spans="1:36" s="52" customFormat="1" ht="24" customHeight="1">
      <c r="A21" s="53"/>
      <c r="B21" s="53"/>
      <c r="C21" s="191" t="s">
        <v>63</v>
      </c>
      <c r="D21" s="185"/>
      <c r="E21" s="54"/>
      <c r="F21" s="54"/>
      <c r="G21" s="55"/>
      <c r="H21" s="55"/>
      <c r="J21" s="60" t="s">
        <v>51</v>
      </c>
      <c r="K21" s="205" t="s">
        <v>64</v>
      </c>
      <c r="L21" s="189"/>
      <c r="M21" s="62"/>
      <c r="R21" s="185" t="s">
        <v>59</v>
      </c>
      <c r="S21" s="55"/>
      <c r="Z21" s="76" t="s">
        <v>51</v>
      </c>
      <c r="AA21" s="397">
        <f>AA20+365</f>
        <v>42745</v>
      </c>
      <c r="AB21" s="397"/>
      <c r="AC21" s="397"/>
      <c r="AD21" s="397"/>
    </row>
    <row r="22" spans="1:36" s="52" customFormat="1" ht="24" customHeight="1">
      <c r="A22" s="53"/>
      <c r="B22" s="53"/>
      <c r="C22" s="191" t="s">
        <v>119</v>
      </c>
      <c r="D22" s="189"/>
      <c r="J22" s="60" t="s">
        <v>51</v>
      </c>
      <c r="K22" s="189" t="s">
        <v>122</v>
      </c>
      <c r="L22" s="189"/>
      <c r="M22" s="58"/>
      <c r="N22" s="58"/>
      <c r="P22" s="58"/>
      <c r="Q22" s="85"/>
      <c r="R22" s="185" t="s">
        <v>120</v>
      </c>
      <c r="S22" s="189"/>
      <c r="T22" s="189"/>
      <c r="U22" s="189"/>
      <c r="X22" s="232"/>
      <c r="Y22" s="232"/>
      <c r="Z22" s="76" t="s">
        <v>51</v>
      </c>
      <c r="AA22" s="398">
        <f>AA20+1</f>
        <v>42381</v>
      </c>
      <c r="AB22" s="398"/>
      <c r="AC22" s="398"/>
      <c r="AD22" s="398"/>
    </row>
    <row r="23" spans="1:36" s="52" customFormat="1" ht="18.95" customHeight="1">
      <c r="A23" s="53"/>
      <c r="B23" s="53"/>
      <c r="M23" s="58"/>
      <c r="N23" s="58"/>
      <c r="P23" s="58"/>
      <c r="Q23" s="58"/>
      <c r="R23" s="58"/>
      <c r="S23" s="58"/>
      <c r="T23" s="58"/>
      <c r="U23" s="58"/>
      <c r="V23" s="58"/>
      <c r="W23" s="58"/>
    </row>
    <row r="24" spans="1:36" s="52" customFormat="1" ht="24" customHeight="1">
      <c r="A24" s="53"/>
      <c r="B24" s="53"/>
      <c r="C24" s="55" t="s">
        <v>65</v>
      </c>
      <c r="D24" s="87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207"/>
      <c r="X24" s="88"/>
      <c r="Y24" s="89"/>
      <c r="Z24" s="89"/>
      <c r="AA24" s="89"/>
    </row>
    <row r="25" spans="1:36" s="52" customFormat="1" ht="24" customHeight="1">
      <c r="A25" s="53"/>
      <c r="B25" s="53"/>
      <c r="C25" s="208" t="s">
        <v>110</v>
      </c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3"/>
    </row>
    <row r="26" spans="1:36" s="52" customFormat="1" ht="24" customHeight="1">
      <c r="A26" s="53"/>
      <c r="B26" s="53"/>
      <c r="C26" s="208" t="s">
        <v>115</v>
      </c>
      <c r="D26" s="58"/>
      <c r="E26" s="53"/>
      <c r="F26" s="53"/>
      <c r="G26" s="53"/>
      <c r="H26" s="182"/>
      <c r="I26" s="182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3"/>
    </row>
    <row r="27" spans="1:36" s="52" customFormat="1" ht="24" customHeight="1">
      <c r="A27" s="53"/>
      <c r="B27" s="53"/>
      <c r="C27" s="208" t="s">
        <v>116</v>
      </c>
      <c r="D27" s="58"/>
      <c r="E27" s="182"/>
      <c r="F27" s="182"/>
      <c r="G27" s="182"/>
      <c r="H27" s="182"/>
      <c r="I27" s="182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3"/>
    </row>
    <row r="28" spans="1:36" s="52" customFormat="1" ht="24" customHeight="1">
      <c r="A28" s="53"/>
      <c r="B28" s="53"/>
      <c r="C28" s="208" t="s">
        <v>111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3"/>
    </row>
    <row r="29" spans="1:36" s="52" customFormat="1" ht="24" customHeight="1">
      <c r="A29" s="53"/>
      <c r="B29" s="53"/>
      <c r="C29" s="208" t="s">
        <v>112</v>
      </c>
      <c r="D29" s="58"/>
    </row>
    <row r="30" spans="1:36" s="52" customFormat="1" ht="24" customHeight="1">
      <c r="A30" s="53"/>
      <c r="B30" s="53"/>
      <c r="C30" s="208" t="s">
        <v>113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3"/>
    </row>
    <row r="31" spans="1:36" s="52" customFormat="1" ht="24" customHeight="1">
      <c r="A31" s="53"/>
      <c r="B31" s="53"/>
      <c r="C31" s="91"/>
      <c r="D31" s="91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3"/>
      <c r="V31" s="53"/>
      <c r="AE31" s="209"/>
      <c r="AF31" s="162"/>
      <c r="AG31" s="48"/>
      <c r="AH31" s="48"/>
      <c r="AI31" s="48"/>
      <c r="AJ31" s="48"/>
    </row>
    <row r="32" spans="1:36" s="52" customFormat="1" ht="24" customHeight="1">
      <c r="A32" s="53"/>
      <c r="B32" s="53"/>
      <c r="C32" s="91"/>
      <c r="D32" s="91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3"/>
      <c r="V32" s="53"/>
      <c r="AE32" s="209"/>
      <c r="AF32" s="162"/>
      <c r="AG32" s="48"/>
      <c r="AH32" s="48"/>
      <c r="AI32" s="48"/>
      <c r="AJ32" s="48"/>
    </row>
    <row r="33" spans="1:36" s="52" customFormat="1" ht="24" customHeight="1">
      <c r="A33" s="53"/>
      <c r="B33" s="53"/>
      <c r="C33" s="91"/>
      <c r="D33" s="9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3"/>
      <c r="V33" s="53"/>
      <c r="AE33" s="209"/>
      <c r="AF33" s="162"/>
      <c r="AG33" s="48"/>
      <c r="AH33" s="48"/>
      <c r="AI33" s="48"/>
      <c r="AJ33" s="48"/>
    </row>
    <row r="34" spans="1:36" s="52" customFormat="1" ht="24" customHeight="1">
      <c r="A34" s="53"/>
      <c r="B34" s="53"/>
      <c r="C34" s="91"/>
      <c r="D34" s="91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3"/>
      <c r="V34" s="53"/>
      <c r="AE34" s="209"/>
      <c r="AF34" s="162"/>
      <c r="AG34" s="48"/>
      <c r="AH34" s="48"/>
      <c r="AI34" s="48"/>
      <c r="AJ34" s="48"/>
    </row>
    <row r="35" spans="1:36" s="52" customFormat="1" ht="24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AE35" s="209"/>
      <c r="AF35" s="162"/>
      <c r="AG35" s="48"/>
      <c r="AH35" s="48"/>
      <c r="AI35" s="48"/>
      <c r="AJ35" s="48"/>
    </row>
    <row r="36" spans="1:36" s="52" customFormat="1" ht="24" customHeight="1">
      <c r="A36" s="53"/>
      <c r="B36" s="53"/>
      <c r="C36" s="185" t="s">
        <v>121</v>
      </c>
      <c r="D36" s="185"/>
      <c r="E36" s="185"/>
      <c r="F36" s="189"/>
      <c r="G36" s="76" t="s">
        <v>51</v>
      </c>
      <c r="H36" s="213" t="str">
        <f>'Data '!F34</f>
        <v>Mr.Pakapon  Nammontree</v>
      </c>
      <c r="I36" s="189"/>
      <c r="J36" s="214"/>
      <c r="K36" s="189"/>
      <c r="L36" s="189"/>
      <c r="M36" s="189"/>
      <c r="N36" s="185"/>
      <c r="Q36" s="185" t="s">
        <v>66</v>
      </c>
      <c r="R36" s="189"/>
      <c r="S36" s="188"/>
      <c r="V36" s="211"/>
      <c r="W36" s="211"/>
      <c r="X36" s="211"/>
      <c r="Y36" s="211"/>
      <c r="Z36" s="211"/>
      <c r="AA36" s="212"/>
      <c r="AB36" s="212"/>
      <c r="AC36" s="212"/>
      <c r="AE36" s="209"/>
      <c r="AF36" s="162"/>
      <c r="AG36" s="48"/>
      <c r="AH36" s="48"/>
      <c r="AI36" s="48"/>
      <c r="AJ36" s="48"/>
    </row>
    <row r="37" spans="1:36" s="52" customFormat="1" ht="9.9499999999999993" customHeight="1">
      <c r="A37" s="53"/>
      <c r="B37" s="53"/>
      <c r="C37" s="185"/>
      <c r="D37" s="189"/>
      <c r="E37" s="189"/>
      <c r="F37" s="189"/>
      <c r="G37" s="76"/>
      <c r="H37" s="221"/>
      <c r="I37" s="221"/>
      <c r="J37" s="221"/>
      <c r="K37" s="210"/>
      <c r="L37" s="189"/>
      <c r="M37" s="189"/>
      <c r="N37" s="185"/>
      <c r="Q37" s="185"/>
      <c r="R37" s="189"/>
      <c r="S37" s="188"/>
      <c r="V37" s="222"/>
      <c r="W37" s="222"/>
      <c r="X37" s="222"/>
      <c r="Y37" s="222"/>
      <c r="Z37" s="222"/>
      <c r="AA37" s="223"/>
      <c r="AB37" s="223"/>
      <c r="AC37" s="223"/>
      <c r="AE37" s="209"/>
      <c r="AF37" s="162"/>
      <c r="AG37" s="48"/>
      <c r="AH37" s="48"/>
      <c r="AI37" s="48"/>
      <c r="AJ37" s="48"/>
    </row>
    <row r="38" spans="1:36" s="52" customFormat="1" ht="24" customHeight="1">
      <c r="A38" s="92"/>
      <c r="B38" s="92"/>
      <c r="H38" s="189" t="s">
        <v>136</v>
      </c>
      <c r="L38" s="189"/>
      <c r="M38" s="189"/>
      <c r="N38" s="189"/>
      <c r="O38" s="189"/>
      <c r="P38" s="215"/>
      <c r="Q38" s="216">
        <v>3</v>
      </c>
      <c r="R38" s="189"/>
      <c r="V38" s="394" t="s">
        <v>137</v>
      </c>
      <c r="W38" s="394"/>
      <c r="X38" s="394"/>
      <c r="Y38" s="394"/>
      <c r="Z38" s="394"/>
      <c r="AA38" s="394"/>
      <c r="AB38" s="394"/>
      <c r="AC38" s="394"/>
      <c r="AE38" s="209"/>
      <c r="AF38" s="162"/>
      <c r="AG38" s="48"/>
      <c r="AH38" s="48"/>
      <c r="AI38" s="48"/>
      <c r="AJ38" s="48"/>
    </row>
    <row r="39" spans="1:36" s="52" customFormat="1" ht="21" customHeight="1">
      <c r="A39" s="53"/>
      <c r="B39" s="53"/>
      <c r="C39" s="189"/>
      <c r="D39" s="189"/>
      <c r="E39" s="189"/>
      <c r="F39" s="189"/>
      <c r="G39" s="189"/>
      <c r="H39" s="210"/>
      <c r="I39" s="210"/>
      <c r="J39" s="210"/>
      <c r="K39" s="189"/>
      <c r="L39" s="189"/>
      <c r="M39" s="188"/>
      <c r="N39" s="188"/>
      <c r="O39" s="189"/>
      <c r="P39" s="189"/>
      <c r="Q39" s="189"/>
      <c r="R39" s="189"/>
      <c r="V39" s="395" t="s">
        <v>67</v>
      </c>
      <c r="W39" s="395"/>
      <c r="X39" s="395"/>
      <c r="Y39" s="395"/>
      <c r="Z39" s="395"/>
      <c r="AA39" s="395"/>
      <c r="AB39" s="395"/>
      <c r="AC39" s="395"/>
      <c r="AD39" s="218"/>
      <c r="AE39" s="219"/>
      <c r="AF39" s="219"/>
      <c r="AG39" s="219"/>
    </row>
    <row r="40" spans="1:36" s="52" customFormat="1" ht="20.100000000000001" customHeight="1">
      <c r="A40" s="53"/>
      <c r="B40" s="53"/>
      <c r="E40" s="57"/>
      <c r="F40" s="57"/>
      <c r="G40" s="57"/>
      <c r="H40" s="57"/>
      <c r="I40" s="57"/>
      <c r="L40" s="69"/>
      <c r="M40" s="53"/>
      <c r="N40" s="53"/>
      <c r="O40" s="53"/>
      <c r="P40" s="181"/>
      <c r="Q40" s="181"/>
      <c r="R40" s="181"/>
      <c r="S40" s="181"/>
      <c r="T40" s="181"/>
      <c r="U40" s="94"/>
      <c r="V40" s="93"/>
      <c r="W40" s="93"/>
      <c r="X40" s="93"/>
      <c r="Y40" s="93"/>
      <c r="Z40" s="93"/>
      <c r="AA40" s="93"/>
    </row>
    <row r="41" spans="1:36" s="52" customFormat="1" ht="16.5" customHeight="1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1"/>
      <c r="P41" s="391"/>
      <c r="Q41" s="391"/>
      <c r="R41" s="391"/>
      <c r="S41" s="391"/>
      <c r="T41" s="391"/>
      <c r="U41" s="391"/>
      <c r="V41" s="391"/>
      <c r="W41" s="95"/>
    </row>
    <row r="42" spans="1:36" ht="18.75" customHeight="1">
      <c r="C42" s="178"/>
      <c r="D42" s="217"/>
      <c r="T42" s="49"/>
      <c r="U42" s="220"/>
    </row>
    <row r="43" spans="1:36" ht="18.75" customHeight="1">
      <c r="C43" s="184"/>
      <c r="D43" s="217"/>
      <c r="T43" s="178"/>
      <c r="U43" s="217"/>
    </row>
    <row r="44" spans="1:36" ht="18.75" customHeight="1">
      <c r="T44" s="178"/>
      <c r="U44" s="217"/>
    </row>
    <row r="45" spans="1:36" ht="18.75" customHeight="1">
      <c r="T45" s="184"/>
      <c r="U45" s="217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41:V41"/>
    <mergeCell ref="A3:X3"/>
    <mergeCell ref="J15:L15"/>
    <mergeCell ref="V38:AC38"/>
    <mergeCell ref="V39:AC39"/>
    <mergeCell ref="AA19:AD19"/>
    <mergeCell ref="AA20:AD20"/>
    <mergeCell ref="AA21:AD21"/>
    <mergeCell ref="AA22:AD22"/>
  </mergeCells>
  <pageMargins left="0.51181102362204722" right="0.31496062992125984" top="0.98425196850393704" bottom="0.19685039370078741" header="0.31496062992125984" footer="0.11811023622047245"/>
  <pageSetup paperSize="9" scale="83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2"/>
  <sheetViews>
    <sheetView showWhiteSpace="0" view="pageBreakPreview" zoomScaleNormal="100" zoomScaleSheetLayoutView="100" workbookViewId="0">
      <selection activeCell="R14" sqref="R14"/>
    </sheetView>
  </sheetViews>
  <sheetFormatPr defaultColWidth="9.140625" defaultRowHeight="20.25"/>
  <cols>
    <col min="1" max="7" width="4.28515625" style="50" customWidth="1"/>
    <col min="8" max="8" width="3.42578125" style="50" customWidth="1"/>
    <col min="9" max="23" width="4.28515625" style="50" customWidth="1"/>
    <col min="24" max="29" width="4.5703125" style="50" customWidth="1"/>
    <col min="30" max="16384" width="9.140625" style="50"/>
  </cols>
  <sheetData>
    <row r="1" spans="1:36" ht="14.1" customHeight="1"/>
    <row r="3" spans="1:36" ht="34.5" customHeight="1">
      <c r="A3" s="407" t="s">
        <v>68</v>
      </c>
      <c r="B3" s="407"/>
      <c r="C3" s="407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</row>
    <row r="4" spans="1:36" s="52" customFormat="1" ht="18.9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</row>
    <row r="5" spans="1:36" s="52" customFormat="1" ht="17.850000000000001" customHeight="1">
      <c r="A5" s="53"/>
      <c r="B5" s="54" t="s">
        <v>50</v>
      </c>
      <c r="C5" s="54"/>
      <c r="D5" s="55"/>
      <c r="E5" s="54"/>
      <c r="G5" s="56" t="s">
        <v>51</v>
      </c>
      <c r="H5" s="57" t="str">
        <f>Certificate!J5</f>
        <v>SPR16010078</v>
      </c>
      <c r="I5" s="58"/>
      <c r="J5" s="58"/>
      <c r="K5" s="58"/>
      <c r="L5" s="57"/>
      <c r="M5" s="57"/>
      <c r="N5" s="57"/>
      <c r="O5" s="57"/>
      <c r="P5" s="58"/>
      <c r="Q5" s="58"/>
      <c r="R5" s="58"/>
      <c r="S5" s="58"/>
      <c r="T5" s="58"/>
      <c r="U5" s="59" t="s">
        <v>69</v>
      </c>
    </row>
    <row r="6" spans="1:36" s="52" customFormat="1" ht="18.95" customHeight="1">
      <c r="A6" s="53"/>
      <c r="B6" s="96"/>
      <c r="C6" s="97"/>
      <c r="D6" s="97"/>
      <c r="E6" s="94"/>
      <c r="F6" s="98"/>
      <c r="G6" s="98"/>
      <c r="H6" s="98"/>
      <c r="I6" s="99"/>
      <c r="J6" s="100"/>
      <c r="K6" s="91"/>
      <c r="L6" s="100"/>
      <c r="M6" s="100"/>
      <c r="N6" s="57"/>
      <c r="O6" s="57"/>
      <c r="P6" s="58"/>
      <c r="Q6" s="58"/>
      <c r="R6" s="58"/>
      <c r="S6" s="53"/>
      <c r="T6" s="53"/>
      <c r="U6" s="53"/>
    </row>
    <row r="7" spans="1:36" s="52" customFormat="1" ht="17.850000000000001" customHeight="1">
      <c r="A7" s="53"/>
      <c r="B7" s="101"/>
      <c r="C7" s="102"/>
      <c r="D7" s="97"/>
      <c r="E7" s="97"/>
      <c r="F7" s="97"/>
      <c r="G7" s="97"/>
      <c r="H7" s="97"/>
      <c r="I7" s="49"/>
      <c r="J7" s="103"/>
      <c r="K7" s="91"/>
      <c r="L7" s="104"/>
      <c r="M7" s="104"/>
      <c r="N7" s="63"/>
      <c r="O7" s="63"/>
      <c r="P7" s="63"/>
      <c r="Q7" s="63"/>
      <c r="R7" s="63"/>
      <c r="S7" s="63"/>
      <c r="T7" s="64"/>
      <c r="U7" s="64"/>
      <c r="V7" s="65"/>
      <c r="W7" s="66"/>
      <c r="AB7" s="52" t="s">
        <v>70</v>
      </c>
    </row>
    <row r="8" spans="1:36" s="52" customFormat="1" ht="14.1" customHeight="1">
      <c r="A8" s="53"/>
      <c r="B8" s="96"/>
      <c r="C8" s="102"/>
      <c r="D8" s="102"/>
      <c r="E8" s="97"/>
      <c r="F8" s="97"/>
      <c r="G8" s="411" t="s">
        <v>109</v>
      </c>
      <c r="H8" s="411"/>
      <c r="I8" s="411"/>
      <c r="J8" s="411"/>
      <c r="K8" s="411"/>
      <c r="L8" s="411"/>
      <c r="M8" s="411"/>
      <c r="N8" s="411"/>
      <c r="O8" s="411"/>
      <c r="P8" s="411"/>
      <c r="Q8" s="63"/>
      <c r="R8" s="63"/>
      <c r="S8" s="63"/>
      <c r="T8" s="63"/>
      <c r="U8" s="64"/>
      <c r="V8" s="65"/>
      <c r="W8" s="65"/>
      <c r="X8" s="66"/>
      <c r="Z8" s="77"/>
    </row>
    <row r="9" spans="1:36" s="52" customFormat="1" ht="14.1" customHeight="1">
      <c r="A9" s="53"/>
      <c r="B9" s="96"/>
      <c r="C9" s="102"/>
      <c r="D9" s="102"/>
      <c r="E9" s="97"/>
      <c r="F9" s="97"/>
      <c r="G9" s="411"/>
      <c r="H9" s="411"/>
      <c r="I9" s="411"/>
      <c r="J9" s="411"/>
      <c r="K9" s="411"/>
      <c r="L9" s="411"/>
      <c r="M9" s="411"/>
      <c r="N9" s="411"/>
      <c r="O9" s="411"/>
      <c r="P9" s="411"/>
      <c r="Q9" s="63"/>
      <c r="R9" s="63"/>
      <c r="S9" s="63"/>
      <c r="T9" s="63"/>
      <c r="U9" s="64"/>
      <c r="V9" s="65"/>
      <c r="W9" s="65"/>
      <c r="X9" s="66"/>
    </row>
    <row r="10" spans="1:36" s="66" customFormat="1" ht="18.95" customHeight="1">
      <c r="A10" s="69"/>
      <c r="B10" s="105"/>
      <c r="C10" s="106"/>
      <c r="D10" s="106"/>
      <c r="E10" s="106"/>
      <c r="F10" s="106"/>
      <c r="G10" s="107"/>
      <c r="H10" s="108"/>
      <c r="I10" s="109"/>
      <c r="J10" s="109"/>
      <c r="K10" s="109"/>
      <c r="L10" s="109"/>
      <c r="M10" s="109"/>
      <c r="N10" s="72"/>
      <c r="O10" s="72"/>
      <c r="P10" s="72"/>
      <c r="Q10" s="110"/>
      <c r="R10" s="69"/>
      <c r="S10" s="111"/>
      <c r="T10" s="65"/>
      <c r="V10" s="74"/>
      <c r="W10" s="75"/>
    </row>
    <row r="11" spans="1:36" s="52" customFormat="1" ht="23.1" customHeight="1">
      <c r="A11" s="53"/>
      <c r="B11" s="408" t="s">
        <v>53</v>
      </c>
      <c r="C11" s="409"/>
      <c r="D11" s="409"/>
      <c r="E11" s="409"/>
      <c r="F11" s="409"/>
      <c r="G11" s="410"/>
      <c r="H11" s="408" t="s">
        <v>32</v>
      </c>
      <c r="I11" s="409"/>
      <c r="J11" s="410"/>
      <c r="K11" s="408" t="s">
        <v>71</v>
      </c>
      <c r="L11" s="409"/>
      <c r="M11" s="410"/>
      <c r="N11" s="408" t="s">
        <v>72</v>
      </c>
      <c r="O11" s="409"/>
      <c r="P11" s="409"/>
      <c r="Q11" s="410"/>
      <c r="R11" s="409" t="s">
        <v>73</v>
      </c>
      <c r="S11" s="409"/>
      <c r="T11" s="409"/>
      <c r="U11" s="410"/>
      <c r="W11" s="77"/>
    </row>
    <row r="12" spans="1:36" s="52" customFormat="1" ht="23.1" customHeight="1">
      <c r="A12" s="53"/>
      <c r="B12" s="399" t="s">
        <v>14</v>
      </c>
      <c r="C12" s="400"/>
      <c r="D12" s="400"/>
      <c r="E12" s="400"/>
      <c r="F12" s="400"/>
      <c r="G12" s="400"/>
      <c r="H12" s="401" t="s">
        <v>101</v>
      </c>
      <c r="I12" s="402"/>
      <c r="J12" s="403"/>
      <c r="K12" s="401">
        <v>12102019</v>
      </c>
      <c r="L12" s="402"/>
      <c r="M12" s="403"/>
      <c r="N12" s="399" t="s">
        <v>102</v>
      </c>
      <c r="O12" s="402"/>
      <c r="P12" s="402"/>
      <c r="Q12" s="403"/>
      <c r="R12" s="404" t="s">
        <v>129</v>
      </c>
      <c r="S12" s="405"/>
      <c r="T12" s="405"/>
      <c r="U12" s="406"/>
      <c r="V12" s="78"/>
      <c r="W12" s="78"/>
      <c r="X12" s="78"/>
      <c r="Y12" s="78"/>
      <c r="Z12" s="112"/>
    </row>
    <row r="13" spans="1:36" s="52" customFormat="1" ht="23.1" customHeight="1">
      <c r="A13" s="53"/>
      <c r="B13" s="399" t="s">
        <v>14</v>
      </c>
      <c r="C13" s="400"/>
      <c r="D13" s="400"/>
      <c r="E13" s="400"/>
      <c r="F13" s="400"/>
      <c r="G13" s="400"/>
      <c r="H13" s="401" t="s">
        <v>104</v>
      </c>
      <c r="I13" s="402"/>
      <c r="J13" s="403"/>
      <c r="K13" s="401">
        <v>12101020</v>
      </c>
      <c r="L13" s="402"/>
      <c r="M13" s="403"/>
      <c r="N13" s="399" t="s">
        <v>103</v>
      </c>
      <c r="O13" s="402"/>
      <c r="P13" s="402"/>
      <c r="Q13" s="403"/>
      <c r="R13" s="404" t="s">
        <v>129</v>
      </c>
      <c r="S13" s="405"/>
      <c r="T13" s="405"/>
      <c r="U13" s="406"/>
      <c r="V13" s="78"/>
      <c r="W13" s="78"/>
      <c r="X13" s="78"/>
      <c r="Y13" s="78"/>
      <c r="Z13" s="112"/>
    </row>
    <row r="14" spans="1:36" s="52" customFormat="1" ht="16.5" customHeight="1">
      <c r="A14" s="53"/>
      <c r="B14" s="61"/>
      <c r="C14" s="61"/>
      <c r="D14" s="61"/>
      <c r="E14" s="61"/>
      <c r="F14" s="55"/>
      <c r="G14" s="55"/>
      <c r="H14" s="55"/>
      <c r="I14" s="76"/>
      <c r="J14" s="80"/>
      <c r="K14" s="62"/>
      <c r="L14" s="62"/>
      <c r="M14" s="58"/>
      <c r="N14" s="58"/>
      <c r="O14" s="62"/>
      <c r="P14" s="62"/>
      <c r="Q14" s="62"/>
      <c r="R14" s="62"/>
      <c r="S14" s="62"/>
      <c r="T14" s="61"/>
      <c r="U14" s="58"/>
      <c r="V14" s="78"/>
      <c r="AI14" s="78"/>
      <c r="AJ14" s="78"/>
    </row>
    <row r="15" spans="1:36" s="52" customFormat="1" ht="16.5" customHeight="1">
      <c r="A15" s="53"/>
      <c r="B15" s="82" t="s">
        <v>74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62"/>
      <c r="Q15" s="58"/>
      <c r="R15" s="58"/>
      <c r="S15" s="58"/>
      <c r="T15" s="58"/>
      <c r="U15" s="58"/>
      <c r="AI15" s="78"/>
      <c r="AJ15" s="78"/>
    </row>
    <row r="16" spans="1:36" s="52" customFormat="1" ht="16.5" customHeight="1">
      <c r="A16" s="53"/>
      <c r="B16" s="58"/>
      <c r="C16" s="58" t="s">
        <v>75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62"/>
      <c r="Q16" s="62"/>
      <c r="R16" s="62"/>
      <c r="S16" s="62"/>
      <c r="T16" s="81"/>
      <c r="U16" s="58"/>
      <c r="V16" s="78"/>
      <c r="AI16" s="78"/>
      <c r="AJ16" s="78"/>
    </row>
    <row r="17" spans="1:35" s="52" customFormat="1" ht="18.95" customHeight="1">
      <c r="A17" s="53"/>
      <c r="B17" s="87" t="s">
        <v>76</v>
      </c>
      <c r="C17" s="90"/>
      <c r="D17" s="90"/>
      <c r="E17" s="90"/>
      <c r="F17" s="90"/>
      <c r="G17" s="90"/>
      <c r="H17" s="90"/>
      <c r="I17" s="58"/>
      <c r="J17" s="58"/>
      <c r="K17" s="58"/>
      <c r="L17" s="58"/>
      <c r="M17" s="58"/>
      <c r="N17" s="58"/>
      <c r="O17" s="58"/>
      <c r="P17" s="62"/>
      <c r="Q17" s="62"/>
      <c r="R17" s="81"/>
      <c r="S17" s="58"/>
      <c r="T17" s="62"/>
      <c r="U17" s="58"/>
      <c r="AG17" s="78"/>
      <c r="AH17" s="78"/>
    </row>
    <row r="18" spans="1:35" s="52" customFormat="1" ht="16.5" customHeight="1">
      <c r="A18" s="53"/>
      <c r="B18" s="87" t="s">
        <v>105</v>
      </c>
      <c r="C18" s="76"/>
      <c r="D18" s="55"/>
      <c r="E18" s="82"/>
      <c r="F18" s="55"/>
      <c r="G18" s="55"/>
      <c r="H18" s="55"/>
      <c r="I18" s="76"/>
      <c r="J18" s="179"/>
      <c r="K18" s="180"/>
      <c r="L18" s="180"/>
      <c r="M18" s="180"/>
      <c r="N18" s="58"/>
      <c r="O18" s="62"/>
      <c r="P18" s="62"/>
      <c r="Q18" s="62"/>
      <c r="R18" s="81"/>
      <c r="S18" s="58"/>
      <c r="T18" s="62"/>
      <c r="U18" s="58"/>
      <c r="Y18" s="113"/>
      <c r="Z18" s="114"/>
      <c r="AF18" s="115"/>
      <c r="AG18" s="115"/>
      <c r="AH18" s="115"/>
    </row>
    <row r="19" spans="1:35" s="52" customFormat="1" ht="16.5" customHeight="1">
      <c r="A19" s="53"/>
      <c r="B19" s="87" t="s">
        <v>106</v>
      </c>
      <c r="C19" s="76"/>
      <c r="D19" s="55"/>
      <c r="E19" s="79"/>
      <c r="F19" s="55"/>
      <c r="G19" s="55"/>
      <c r="H19" s="55"/>
      <c r="I19" s="76"/>
      <c r="J19" s="179"/>
      <c r="K19" s="180"/>
      <c r="L19" s="180"/>
      <c r="M19" s="180"/>
      <c r="N19" s="58"/>
      <c r="O19" s="62"/>
      <c r="P19" s="62"/>
      <c r="Q19" s="62"/>
      <c r="R19" s="81"/>
      <c r="S19" s="58"/>
      <c r="T19" s="62"/>
      <c r="U19" s="58"/>
      <c r="AG19" s="78"/>
      <c r="AH19" s="78"/>
    </row>
    <row r="20" spans="1:35" s="52" customFormat="1" ht="16.5" customHeight="1">
      <c r="A20" s="53"/>
      <c r="B20" s="54"/>
      <c r="C20" s="76"/>
      <c r="D20" s="55"/>
      <c r="E20" s="54"/>
      <c r="F20" s="55"/>
      <c r="G20" s="55"/>
      <c r="H20" s="55"/>
      <c r="I20" s="76"/>
      <c r="J20" s="413"/>
      <c r="K20" s="413"/>
      <c r="L20" s="413"/>
      <c r="M20" s="413"/>
      <c r="N20" s="58"/>
      <c r="O20" s="62"/>
      <c r="P20" s="62"/>
      <c r="Q20" s="62"/>
      <c r="R20" s="81"/>
      <c r="S20" s="58"/>
      <c r="T20" s="62"/>
      <c r="U20" s="58"/>
      <c r="AG20" s="78"/>
      <c r="AH20" s="78"/>
    </row>
    <row r="21" spans="1:35" s="52" customFormat="1" ht="18.95" customHeight="1">
      <c r="A21" s="53"/>
      <c r="B21" s="54"/>
      <c r="C21" s="76"/>
      <c r="D21" s="55"/>
      <c r="E21" s="54"/>
      <c r="F21" s="55"/>
      <c r="G21" s="76"/>
      <c r="H21" s="55"/>
      <c r="I21" s="83"/>
      <c r="J21" s="83"/>
      <c r="K21" s="83"/>
      <c r="L21" s="62"/>
      <c r="M21" s="62"/>
      <c r="N21" s="58"/>
      <c r="O21" s="62"/>
      <c r="P21" s="81"/>
      <c r="Q21" s="58"/>
      <c r="R21" s="62"/>
      <c r="S21" s="58"/>
      <c r="T21" s="58"/>
      <c r="U21" s="58"/>
      <c r="AF21" s="78"/>
    </row>
    <row r="22" spans="1:35" s="52" customFormat="1" ht="16.5" customHeight="1">
      <c r="A22" s="53"/>
      <c r="B22" s="61"/>
      <c r="C22" s="61"/>
      <c r="D22" s="61"/>
      <c r="E22" s="61"/>
      <c r="F22" s="61"/>
      <c r="G22" s="61"/>
      <c r="H22" s="61"/>
      <c r="I22" s="84"/>
      <c r="J22" s="62"/>
      <c r="K22" s="62"/>
      <c r="L22" s="55"/>
      <c r="M22" s="58"/>
      <c r="N22" s="58"/>
      <c r="O22" s="85"/>
      <c r="P22" s="85"/>
      <c r="Q22" s="58"/>
      <c r="R22" s="58"/>
      <c r="S22" s="58"/>
      <c r="T22" s="58"/>
      <c r="U22" s="58"/>
      <c r="AF22" s="116"/>
      <c r="AG22" s="116"/>
    </row>
    <row r="23" spans="1:35" s="52" customFormat="1" ht="16.5" customHeight="1">
      <c r="A23" s="53"/>
      <c r="B23" s="61"/>
      <c r="C23" s="61"/>
      <c r="D23" s="61"/>
      <c r="E23" s="61"/>
      <c r="F23" s="55"/>
      <c r="G23" s="55"/>
      <c r="H23" s="55"/>
      <c r="I23" s="56"/>
      <c r="J23" s="86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AG23" s="117"/>
      <c r="AH23" s="118"/>
      <c r="AI23" s="66"/>
    </row>
    <row r="24" spans="1:35" s="52" customFormat="1" ht="16.5" customHeight="1">
      <c r="A24" s="53"/>
      <c r="B24" s="61"/>
      <c r="C24" s="54"/>
      <c r="D24" s="54"/>
      <c r="E24" s="54"/>
      <c r="F24" s="55"/>
      <c r="G24" s="55"/>
      <c r="H24" s="55"/>
      <c r="I24" s="60"/>
      <c r="J24" s="86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66"/>
      <c r="W24" s="66"/>
      <c r="AC24" s="119"/>
      <c r="AD24" s="119"/>
      <c r="AE24" s="119"/>
      <c r="AF24" s="119"/>
      <c r="AG24" s="117"/>
      <c r="AH24" s="118"/>
      <c r="AI24" s="66"/>
    </row>
    <row r="25" spans="1:35" s="52" customFormat="1" ht="16.5" customHeight="1">
      <c r="A25" s="53"/>
      <c r="B25" s="61"/>
      <c r="C25" s="54"/>
      <c r="D25" s="54"/>
      <c r="E25" s="54"/>
      <c r="F25" s="55"/>
      <c r="G25" s="55"/>
      <c r="H25" s="55"/>
      <c r="I25" s="60"/>
      <c r="J25" s="86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66"/>
      <c r="W25" s="66"/>
      <c r="AC25" s="119"/>
      <c r="AD25" s="119"/>
      <c r="AE25" s="119"/>
      <c r="AF25" s="119"/>
      <c r="AG25" s="117"/>
      <c r="AH25" s="118"/>
      <c r="AI25" s="66"/>
    </row>
    <row r="26" spans="1:35" s="52" customFormat="1" ht="18.95" customHeight="1">
      <c r="A26" s="53"/>
      <c r="B26" s="96"/>
      <c r="C26" s="97"/>
      <c r="D26" s="94"/>
      <c r="E26" s="94"/>
      <c r="F26" s="94"/>
      <c r="G26" s="94"/>
      <c r="H26" s="98"/>
      <c r="I26" s="91"/>
      <c r="J26" s="91"/>
      <c r="K26" s="91"/>
      <c r="L26" s="91"/>
      <c r="M26" s="91"/>
      <c r="N26" s="120"/>
      <c r="O26" s="53"/>
      <c r="P26" s="53"/>
      <c r="Q26" s="53"/>
      <c r="R26" s="53"/>
      <c r="S26" s="53"/>
      <c r="T26" s="53"/>
      <c r="U26" s="66"/>
      <c r="V26" s="66"/>
      <c r="AA26" s="119"/>
      <c r="AB26" s="119"/>
      <c r="AC26" s="119"/>
      <c r="AD26" s="119"/>
      <c r="AE26" s="119"/>
      <c r="AF26" s="117"/>
      <c r="AG26" s="118"/>
      <c r="AH26" s="66"/>
    </row>
    <row r="27" spans="1:35" s="52" customFormat="1" ht="16.5" customHeight="1">
      <c r="A27" s="69"/>
      <c r="B27" s="121"/>
      <c r="C27" s="97"/>
      <c r="D27" s="94"/>
      <c r="E27" s="94"/>
      <c r="F27" s="94"/>
      <c r="G27" s="94"/>
      <c r="H27" s="122"/>
      <c r="I27" s="123"/>
      <c r="J27" s="122"/>
      <c r="K27" s="122"/>
      <c r="L27" s="122"/>
      <c r="M27" s="123"/>
      <c r="N27" s="122"/>
      <c r="O27" s="122"/>
      <c r="P27" s="122"/>
      <c r="Q27" s="122"/>
      <c r="R27" s="122"/>
      <c r="S27" s="122"/>
      <c r="T27" s="123"/>
    </row>
    <row r="28" spans="1:35" s="52" customFormat="1" ht="16.5" customHeight="1">
      <c r="A28" s="53"/>
      <c r="V28" s="124"/>
    </row>
    <row r="29" spans="1:35" s="52" customFormat="1" ht="16.5" customHeight="1">
      <c r="A29" s="53"/>
      <c r="V29" s="124"/>
    </row>
    <row r="30" spans="1:35" s="52" customFormat="1" ht="18.95" customHeight="1">
      <c r="A30" s="53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8"/>
      <c r="W30" s="88"/>
      <c r="X30" s="89"/>
      <c r="Y30" s="89"/>
    </row>
    <row r="31" spans="1:35" s="52" customFormat="1" ht="16.5" customHeight="1">
      <c r="A31" s="53"/>
      <c r="P31" s="125"/>
      <c r="Q31" s="125"/>
      <c r="R31" s="125"/>
      <c r="S31" s="125"/>
      <c r="T31" s="125"/>
      <c r="U31" s="88"/>
      <c r="V31" s="88"/>
      <c r="W31" s="89"/>
      <c r="X31" s="89"/>
    </row>
    <row r="32" spans="1:35" s="52" customFormat="1" ht="16.5" customHeight="1">
      <c r="A32" s="53"/>
      <c r="P32" s="58"/>
      <c r="Q32" s="58"/>
      <c r="R32" s="58"/>
      <c r="S32" s="58"/>
      <c r="T32" s="53"/>
    </row>
    <row r="33" spans="1:26" s="52" customFormat="1" ht="16.5" customHeight="1">
      <c r="A33" s="53"/>
      <c r="P33" s="58"/>
      <c r="Q33" s="58"/>
      <c r="R33" s="58"/>
      <c r="S33" s="58"/>
      <c r="T33" s="53"/>
    </row>
    <row r="34" spans="1:26" s="52" customFormat="1" ht="18.95" customHeight="1">
      <c r="A34" s="53"/>
      <c r="B34" s="87"/>
      <c r="C34" s="90"/>
      <c r="D34" s="90"/>
      <c r="E34" s="90"/>
      <c r="F34" s="90"/>
      <c r="G34" s="90"/>
      <c r="H34" s="90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3"/>
    </row>
    <row r="35" spans="1:26" s="52" customFormat="1" ht="16.5" customHeight="1">
      <c r="A35" s="53"/>
      <c r="B35" s="121"/>
      <c r="C35" s="12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69"/>
    </row>
    <row r="36" spans="1:26" s="52" customFormat="1" ht="16.5" customHeight="1">
      <c r="A36" s="53"/>
      <c r="B36" s="100"/>
      <c r="C36" s="100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69"/>
      <c r="T36" s="69"/>
    </row>
    <row r="37" spans="1:26" s="52" customFormat="1" ht="16.5" customHeight="1">
      <c r="A37" s="53"/>
      <c r="B37" s="127"/>
      <c r="C37" s="128"/>
      <c r="D37" s="90"/>
      <c r="E37" s="90"/>
      <c r="F37" s="90"/>
      <c r="G37" s="90"/>
      <c r="H37" s="90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69"/>
      <c r="T37" s="69"/>
    </row>
    <row r="38" spans="1:26" s="52" customFormat="1" ht="18.95" customHeight="1">
      <c r="A38" s="53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</row>
    <row r="39" spans="1:26" s="52" customFormat="1" ht="16.5" customHeight="1">
      <c r="A39" s="53"/>
      <c r="B39" s="121"/>
      <c r="C39" s="66"/>
      <c r="D39" s="66"/>
      <c r="E39" s="66"/>
      <c r="F39" s="414"/>
      <c r="G39" s="414"/>
      <c r="H39" s="414"/>
      <c r="I39" s="414"/>
      <c r="J39" s="129"/>
      <c r="K39" s="66"/>
      <c r="L39" s="415"/>
      <c r="M39" s="415"/>
      <c r="N39" s="415"/>
      <c r="O39" s="415"/>
      <c r="P39" s="57"/>
      <c r="Q39" s="57"/>
      <c r="R39" s="57"/>
      <c r="S39" s="57"/>
      <c r="T39" s="57"/>
    </row>
    <row r="40" spans="1:26" s="52" customFormat="1" ht="14.1" customHeight="1">
      <c r="A40" s="92"/>
      <c r="B40" s="66"/>
      <c r="C40" s="66"/>
      <c r="D40" s="66"/>
      <c r="E40" s="66"/>
      <c r="F40" s="100"/>
      <c r="G40" s="100"/>
      <c r="H40" s="100"/>
      <c r="I40" s="128"/>
      <c r="J40" s="69"/>
      <c r="K40" s="66"/>
      <c r="L40" s="69"/>
      <c r="M40" s="69"/>
      <c r="N40" s="130"/>
      <c r="O40" s="131"/>
      <c r="P40" s="128"/>
      <c r="Q40" s="128"/>
      <c r="R40" s="128"/>
      <c r="S40" s="128"/>
      <c r="T40" s="128"/>
      <c r="U40" s="93"/>
      <c r="V40" s="93"/>
      <c r="W40" s="93"/>
      <c r="X40" s="93"/>
      <c r="Y40" s="93"/>
      <c r="Z40" s="93"/>
    </row>
    <row r="41" spans="1:26" s="52" customFormat="1" ht="16.5" customHeight="1">
      <c r="A41" s="53"/>
      <c r="B41" s="121"/>
      <c r="C41" s="94"/>
      <c r="D41" s="94"/>
      <c r="E41" s="66"/>
      <c r="F41" s="100"/>
      <c r="G41" s="132"/>
      <c r="H41" s="132"/>
      <c r="I41" s="132"/>
      <c r="J41" s="66"/>
      <c r="K41" s="66"/>
      <c r="L41" s="69"/>
      <c r="M41" s="69"/>
      <c r="N41" s="69"/>
      <c r="O41" s="69"/>
      <c r="P41" s="416"/>
      <c r="Q41" s="416"/>
      <c r="R41" s="416"/>
      <c r="S41" s="416"/>
      <c r="T41" s="416"/>
      <c r="U41" s="93"/>
      <c r="V41" s="93"/>
      <c r="W41" s="93"/>
      <c r="X41" s="93"/>
      <c r="Y41" s="93"/>
      <c r="Z41" s="93"/>
    </row>
    <row r="42" spans="1:26" s="52" customFormat="1" ht="18.95" customHeight="1">
      <c r="A42" s="53"/>
      <c r="D42" s="412"/>
      <c r="E42" s="412"/>
      <c r="F42" s="412"/>
      <c r="G42" s="412"/>
      <c r="H42" s="412"/>
      <c r="K42" s="69"/>
      <c r="L42" s="53"/>
      <c r="M42" s="53"/>
      <c r="N42" s="84"/>
      <c r="O42" s="84"/>
      <c r="P42" s="84"/>
      <c r="Q42" s="84"/>
      <c r="R42" s="84"/>
      <c r="S42" s="94"/>
      <c r="T42" s="93"/>
      <c r="U42" s="93"/>
      <c r="V42" s="93"/>
      <c r="W42" s="93"/>
      <c r="X42" s="93"/>
      <c r="Y42" s="93"/>
    </row>
    <row r="43" spans="1:26" s="52" customFormat="1" ht="16.5" customHeight="1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1"/>
      <c r="P43" s="391"/>
      <c r="Q43" s="391"/>
      <c r="R43" s="391"/>
      <c r="S43" s="391"/>
      <c r="T43" s="391"/>
      <c r="U43" s="95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3">
    <mergeCell ref="D42:H42"/>
    <mergeCell ref="A43:T43"/>
    <mergeCell ref="J20:M20"/>
    <mergeCell ref="F39:I39"/>
    <mergeCell ref="L39:O39"/>
    <mergeCell ref="P41:T41"/>
    <mergeCell ref="B12:G12"/>
    <mergeCell ref="H12:J12"/>
    <mergeCell ref="K12:M12"/>
    <mergeCell ref="N12:Q12"/>
    <mergeCell ref="R12:U12"/>
    <mergeCell ref="A3:V3"/>
    <mergeCell ref="B11:G11"/>
    <mergeCell ref="H11:J11"/>
    <mergeCell ref="K11:M11"/>
    <mergeCell ref="N11:Q11"/>
    <mergeCell ref="R11:U11"/>
    <mergeCell ref="G8:P9"/>
    <mergeCell ref="B13:G13"/>
    <mergeCell ref="H13:J13"/>
    <mergeCell ref="K13:M13"/>
    <mergeCell ref="N13:Q13"/>
    <mergeCell ref="R13:U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N71"/>
  <sheetViews>
    <sheetView view="pageBreakPreview" zoomScaleNormal="100" zoomScaleSheetLayoutView="100" workbookViewId="0">
      <selection activeCell="A27" sqref="A27:Y27"/>
    </sheetView>
  </sheetViews>
  <sheetFormatPr defaultColWidth="9.140625" defaultRowHeight="12"/>
  <cols>
    <col min="1" max="25" width="3.85546875" style="134" customWidth="1"/>
    <col min="26" max="39" width="4.42578125" style="134" customWidth="1"/>
    <col min="40" max="16384" width="9.140625" style="134"/>
  </cols>
  <sheetData>
    <row r="1" spans="1:40" s="133" customFormat="1" ht="18" customHeight="1"/>
    <row r="2" spans="1:40" s="133" customFormat="1" ht="18" customHeight="1"/>
    <row r="3" spans="1:40" s="133" customFormat="1" ht="34.5" customHeight="1">
      <c r="A3" s="452" t="s">
        <v>77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452"/>
    </row>
    <row r="4" spans="1:40" s="133" customFormat="1" ht="12" customHeight="1"/>
    <row r="5" spans="1:40" ht="21" customHeight="1">
      <c r="C5" s="135" t="s">
        <v>22</v>
      </c>
      <c r="D5" s="133"/>
      <c r="E5" s="133"/>
      <c r="H5" s="136" t="str">
        <f>Report!H5</f>
        <v>SPR16010078</v>
      </c>
      <c r="I5" s="133"/>
      <c r="J5" s="133"/>
      <c r="K5" s="133"/>
      <c r="L5" s="133"/>
      <c r="M5" s="133"/>
      <c r="N5" s="133"/>
      <c r="P5" s="137"/>
      <c r="Q5" s="137"/>
      <c r="R5" s="137"/>
      <c r="U5" s="138" t="s">
        <v>78</v>
      </c>
      <c r="X5" s="138"/>
      <c r="Y5" s="138"/>
      <c r="Z5" s="139"/>
    </row>
    <row r="6" spans="1:40" ht="21" customHeight="1">
      <c r="C6" s="135"/>
      <c r="D6" s="133"/>
      <c r="E6" s="133"/>
      <c r="G6" s="136"/>
      <c r="H6" s="133"/>
      <c r="I6" s="133"/>
      <c r="J6" s="133"/>
      <c r="K6" s="133"/>
      <c r="L6" s="133"/>
      <c r="M6" s="133"/>
      <c r="N6" s="133"/>
      <c r="P6" s="137"/>
      <c r="Q6" s="137"/>
      <c r="R6" s="137"/>
      <c r="S6" s="140"/>
      <c r="T6" s="140"/>
      <c r="U6" s="140"/>
      <c r="V6" s="140"/>
      <c r="W6" s="138"/>
      <c r="Z6" s="141"/>
    </row>
    <row r="7" spans="1:40" s="144" customFormat="1" ht="21" customHeight="1">
      <c r="B7" s="142"/>
      <c r="D7" s="142"/>
      <c r="E7" s="142"/>
      <c r="F7" s="142"/>
      <c r="G7" s="145"/>
      <c r="H7" s="142"/>
      <c r="I7" s="143"/>
      <c r="J7" s="79"/>
      <c r="K7" s="79"/>
      <c r="L7" s="67"/>
      <c r="M7" s="146"/>
      <c r="N7" s="67"/>
      <c r="O7" s="147"/>
      <c r="P7" s="148"/>
      <c r="U7" s="142"/>
      <c r="V7" s="142"/>
      <c r="W7" s="142"/>
      <c r="Z7" s="133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</row>
    <row r="8" spans="1:40" ht="21" customHeight="1">
      <c r="B8" s="133"/>
      <c r="C8" s="62" t="str">
        <f>'Data '!B16</f>
        <v>Measurement Result : Clockwise Direction ( CW )</v>
      </c>
      <c r="D8" s="133"/>
      <c r="E8" s="133"/>
      <c r="F8" s="133"/>
      <c r="G8" s="149"/>
      <c r="H8" s="149"/>
      <c r="I8" s="149"/>
      <c r="J8" s="149"/>
      <c r="K8" s="149"/>
      <c r="L8" s="149"/>
      <c r="M8" s="149"/>
      <c r="N8" s="133"/>
      <c r="O8" s="133"/>
      <c r="S8" s="453" t="s">
        <v>123</v>
      </c>
      <c r="T8" s="453"/>
      <c r="U8" s="231" t="str">
        <f>'Data '!I9</f>
        <v>N.m</v>
      </c>
    </row>
    <row r="9" spans="1:40" s="150" customFormat="1" ht="21" customHeight="1">
      <c r="B9" s="134"/>
      <c r="C9" s="133"/>
      <c r="D9" s="167"/>
      <c r="E9" s="167"/>
      <c r="F9" s="435" t="s">
        <v>126</v>
      </c>
      <c r="G9" s="436"/>
      <c r="H9" s="436"/>
      <c r="I9" s="437"/>
      <c r="J9" s="435" t="s">
        <v>125</v>
      </c>
      <c r="K9" s="436"/>
      <c r="L9" s="436"/>
      <c r="M9" s="437"/>
      <c r="N9" s="435" t="s">
        <v>79</v>
      </c>
      <c r="O9" s="436"/>
      <c r="P9" s="436"/>
      <c r="Q9" s="437"/>
      <c r="R9" s="435" t="s">
        <v>124</v>
      </c>
      <c r="S9" s="436"/>
      <c r="T9" s="436"/>
      <c r="U9" s="437"/>
      <c r="V9" s="134"/>
      <c r="W9" s="134"/>
    </row>
    <row r="10" spans="1:40" s="150" customFormat="1" ht="21" customHeight="1">
      <c r="B10" s="134"/>
      <c r="C10" s="133"/>
      <c r="E10" s="167"/>
      <c r="F10" s="438"/>
      <c r="G10" s="439"/>
      <c r="H10" s="439"/>
      <c r="I10" s="440"/>
      <c r="J10" s="438"/>
      <c r="K10" s="439"/>
      <c r="L10" s="439"/>
      <c r="M10" s="440"/>
      <c r="N10" s="438"/>
      <c r="O10" s="439"/>
      <c r="P10" s="439"/>
      <c r="Q10" s="440"/>
      <c r="R10" s="438"/>
      <c r="S10" s="439"/>
      <c r="T10" s="439"/>
      <c r="U10" s="440"/>
      <c r="V10" s="151"/>
      <c r="W10" s="151"/>
    </row>
    <row r="11" spans="1:40" s="150" customFormat="1" ht="21" customHeight="1">
      <c r="B11" s="134"/>
      <c r="C11" s="133"/>
      <c r="F11" s="441">
        <f>'Data '!A19</f>
        <v>40</v>
      </c>
      <c r="G11" s="442"/>
      <c r="H11" s="442"/>
      <c r="I11" s="443"/>
      <c r="J11" s="418" t="e">
        <f>'Data '!T19</f>
        <v>#DIV/0!</v>
      </c>
      <c r="K11" s="419"/>
      <c r="L11" s="419"/>
      <c r="M11" s="420"/>
      <c r="N11" s="418" t="e">
        <f>F11-J11</f>
        <v>#DIV/0!</v>
      </c>
      <c r="O11" s="419"/>
      <c r="P11" s="419"/>
      <c r="Q11" s="420"/>
      <c r="R11" s="454" t="e">
        <f>'Uncertainty Budget'!O7</f>
        <v>#DIV/0!</v>
      </c>
      <c r="S11" s="450"/>
      <c r="T11" s="450"/>
      <c r="U11" s="451"/>
      <c r="V11" s="152"/>
      <c r="W11" s="152"/>
    </row>
    <row r="12" spans="1:40" s="150" customFormat="1" ht="21" customHeight="1">
      <c r="B12" s="134"/>
      <c r="C12" s="133"/>
      <c r="F12" s="441">
        <f>'Data '!A20</f>
        <v>80</v>
      </c>
      <c r="G12" s="442"/>
      <c r="H12" s="442"/>
      <c r="I12" s="443"/>
      <c r="J12" s="418" t="e">
        <f>'Data '!T20</f>
        <v>#DIV/0!</v>
      </c>
      <c r="K12" s="419"/>
      <c r="L12" s="419"/>
      <c r="M12" s="420"/>
      <c r="N12" s="418" t="e">
        <f>F12-J12</f>
        <v>#DIV/0!</v>
      </c>
      <c r="O12" s="419"/>
      <c r="P12" s="419"/>
      <c r="Q12" s="420"/>
      <c r="R12" s="424" t="e">
        <f>'Uncertainty Budget'!O8</f>
        <v>#DIV/0!</v>
      </c>
      <c r="S12" s="425"/>
      <c r="T12" s="425"/>
      <c r="U12" s="426"/>
      <c r="V12" s="152"/>
      <c r="W12" s="152"/>
    </row>
    <row r="13" spans="1:40" s="150" customFormat="1" ht="21" customHeight="1">
      <c r="B13" s="134"/>
      <c r="C13" s="133"/>
      <c r="F13" s="441">
        <f>'Data '!A21</f>
        <v>120</v>
      </c>
      <c r="G13" s="442"/>
      <c r="H13" s="442"/>
      <c r="I13" s="443"/>
      <c r="J13" s="418" t="e">
        <f>'Data '!T21</f>
        <v>#DIV/0!</v>
      </c>
      <c r="K13" s="419"/>
      <c r="L13" s="419"/>
      <c r="M13" s="420"/>
      <c r="N13" s="418" t="e">
        <f>F13-J13</f>
        <v>#DIV/0!</v>
      </c>
      <c r="O13" s="419"/>
      <c r="P13" s="419"/>
      <c r="Q13" s="420"/>
      <c r="R13" s="424" t="e">
        <f>'Uncertainty Budget'!O9</f>
        <v>#DIV/0!</v>
      </c>
      <c r="S13" s="425"/>
      <c r="T13" s="425"/>
      <c r="U13" s="426"/>
      <c r="V13" s="152"/>
      <c r="W13" s="152"/>
    </row>
    <row r="14" spans="1:40" s="150" customFormat="1" ht="21" customHeight="1">
      <c r="B14" s="134"/>
      <c r="C14" s="133"/>
      <c r="F14" s="441">
        <f>'Data '!A22</f>
        <v>160</v>
      </c>
      <c r="G14" s="442"/>
      <c r="H14" s="442"/>
      <c r="I14" s="443"/>
      <c r="J14" s="418" t="e">
        <f>'Data '!T22</f>
        <v>#DIV/0!</v>
      </c>
      <c r="K14" s="419"/>
      <c r="L14" s="419"/>
      <c r="M14" s="420"/>
      <c r="N14" s="418" t="e">
        <f>F14-J14</f>
        <v>#DIV/0!</v>
      </c>
      <c r="O14" s="419"/>
      <c r="P14" s="419"/>
      <c r="Q14" s="420"/>
      <c r="R14" s="424" t="e">
        <f>'Uncertainty Budget'!O10</f>
        <v>#DIV/0!</v>
      </c>
      <c r="S14" s="425"/>
      <c r="T14" s="425"/>
      <c r="U14" s="426"/>
      <c r="V14" s="152"/>
      <c r="W14" s="152"/>
    </row>
    <row r="15" spans="1:40" s="150" customFormat="1" ht="21" customHeight="1">
      <c r="B15" s="134"/>
      <c r="C15" s="133"/>
      <c r="F15" s="431">
        <f>'Data '!A23</f>
        <v>200</v>
      </c>
      <c r="G15" s="432"/>
      <c r="H15" s="432"/>
      <c r="I15" s="433"/>
      <c r="J15" s="421" t="e">
        <f>'Data '!T23</f>
        <v>#DIV/0!</v>
      </c>
      <c r="K15" s="422"/>
      <c r="L15" s="422"/>
      <c r="M15" s="423"/>
      <c r="N15" s="421" t="e">
        <f>F15-J15</f>
        <v>#DIV/0!</v>
      </c>
      <c r="O15" s="422"/>
      <c r="P15" s="422"/>
      <c r="Q15" s="423"/>
      <c r="R15" s="427" t="e">
        <f>'Uncertainty Budget'!O11</f>
        <v>#DIV/0!</v>
      </c>
      <c r="S15" s="428"/>
      <c r="T15" s="428"/>
      <c r="U15" s="429"/>
      <c r="V15" s="152"/>
      <c r="W15" s="152"/>
    </row>
    <row r="16" spans="1:40" s="150" customFormat="1" ht="21" customHeight="1">
      <c r="B16" s="134"/>
      <c r="C16" s="133"/>
      <c r="F16" s="166"/>
      <c r="G16" s="170"/>
      <c r="H16" s="170"/>
      <c r="I16" s="170"/>
      <c r="J16" s="169"/>
      <c r="K16" s="169"/>
      <c r="L16" s="169"/>
      <c r="M16" s="168"/>
      <c r="N16" s="168"/>
      <c r="O16" s="168"/>
      <c r="P16" s="164"/>
      <c r="Q16" s="164"/>
      <c r="R16" s="165"/>
      <c r="S16" s="163"/>
      <c r="T16" s="163"/>
      <c r="U16" s="152"/>
      <c r="V16" s="152"/>
      <c r="W16" s="152"/>
    </row>
    <row r="17" spans="1:25" s="171" customFormat="1" ht="21" customHeight="1">
      <c r="B17" s="151"/>
      <c r="C17" s="133" t="str">
        <f>'Data '!B25</f>
        <v>Measurement Result : CounterClock Wise Direction ( CCW )</v>
      </c>
      <c r="F17" s="172"/>
      <c r="G17" s="174"/>
      <c r="H17" s="174"/>
      <c r="I17" s="174"/>
      <c r="J17" s="175"/>
      <c r="K17" s="175"/>
      <c r="L17" s="175"/>
      <c r="M17" s="176"/>
      <c r="N17" s="176"/>
      <c r="O17" s="176"/>
      <c r="P17" s="177"/>
      <c r="S17" s="453" t="s">
        <v>123</v>
      </c>
      <c r="T17" s="453"/>
      <c r="U17" s="231" t="str">
        <f>U8</f>
        <v>N.m</v>
      </c>
      <c r="V17" s="173"/>
      <c r="W17" s="173"/>
    </row>
    <row r="18" spans="1:25" s="150" customFormat="1" ht="21" customHeight="1">
      <c r="B18" s="134"/>
      <c r="C18" s="133"/>
      <c r="F18" s="435" t="s">
        <v>126</v>
      </c>
      <c r="G18" s="436"/>
      <c r="H18" s="436"/>
      <c r="I18" s="437"/>
      <c r="J18" s="435" t="s">
        <v>125</v>
      </c>
      <c r="K18" s="436"/>
      <c r="L18" s="436"/>
      <c r="M18" s="437"/>
      <c r="N18" s="435" t="s">
        <v>79</v>
      </c>
      <c r="O18" s="436"/>
      <c r="P18" s="436"/>
      <c r="Q18" s="437"/>
      <c r="R18" s="435" t="s">
        <v>124</v>
      </c>
      <c r="S18" s="436"/>
      <c r="T18" s="436"/>
      <c r="U18" s="437"/>
      <c r="V18" s="152"/>
      <c r="W18" s="152"/>
    </row>
    <row r="19" spans="1:25" s="150" customFormat="1" ht="21" customHeight="1">
      <c r="B19" s="134"/>
      <c r="C19" s="133"/>
      <c r="F19" s="438"/>
      <c r="G19" s="439"/>
      <c r="H19" s="439"/>
      <c r="I19" s="440"/>
      <c r="J19" s="438"/>
      <c r="K19" s="439"/>
      <c r="L19" s="439"/>
      <c r="M19" s="440"/>
      <c r="N19" s="438"/>
      <c r="O19" s="439"/>
      <c r="P19" s="439"/>
      <c r="Q19" s="440"/>
      <c r="R19" s="438"/>
      <c r="S19" s="439"/>
      <c r="T19" s="439"/>
      <c r="U19" s="440"/>
      <c r="V19" s="152"/>
      <c r="W19" s="152"/>
    </row>
    <row r="20" spans="1:25" s="150" customFormat="1" ht="21" customHeight="1">
      <c r="B20" s="134"/>
      <c r="C20" s="133"/>
      <c r="F20" s="444">
        <f>'Data '!A28</f>
        <v>40</v>
      </c>
      <c r="G20" s="445"/>
      <c r="H20" s="445"/>
      <c r="I20" s="446"/>
      <c r="J20" s="447" t="e">
        <f>'Data '!T28</f>
        <v>#DIV/0!</v>
      </c>
      <c r="K20" s="448"/>
      <c r="L20" s="448"/>
      <c r="M20" s="449"/>
      <c r="N20" s="447" t="e">
        <f>F20-J20</f>
        <v>#DIV/0!</v>
      </c>
      <c r="O20" s="448"/>
      <c r="P20" s="448"/>
      <c r="Q20" s="449"/>
      <c r="R20" s="450" t="e">
        <f>'Uncertainty Budget'!O17</f>
        <v>#DIV/0!</v>
      </c>
      <c r="S20" s="450"/>
      <c r="T20" s="450"/>
      <c r="U20" s="451"/>
      <c r="V20" s="152"/>
      <c r="W20" s="152"/>
    </row>
    <row r="21" spans="1:25" s="150" customFormat="1" ht="21" customHeight="1">
      <c r="B21" s="134"/>
      <c r="C21" s="133"/>
      <c r="F21" s="441">
        <f>'Data '!A29</f>
        <v>80</v>
      </c>
      <c r="G21" s="442"/>
      <c r="H21" s="442"/>
      <c r="I21" s="443"/>
      <c r="J21" s="418" t="e">
        <f>'Data '!T29</f>
        <v>#DIV/0!</v>
      </c>
      <c r="K21" s="419"/>
      <c r="L21" s="419"/>
      <c r="M21" s="420"/>
      <c r="N21" s="418" t="e">
        <f>F21-J21</f>
        <v>#DIV/0!</v>
      </c>
      <c r="O21" s="419"/>
      <c r="P21" s="419"/>
      <c r="Q21" s="420"/>
      <c r="R21" s="424" t="e">
        <f>'Uncertainty Budget'!O18</f>
        <v>#DIV/0!</v>
      </c>
      <c r="S21" s="425"/>
      <c r="T21" s="425"/>
      <c r="U21" s="426"/>
      <c r="V21" s="152"/>
      <c r="W21" s="152"/>
    </row>
    <row r="22" spans="1:25" s="150" customFormat="1" ht="21" customHeight="1">
      <c r="B22" s="134"/>
      <c r="C22" s="133"/>
      <c r="F22" s="441">
        <f>'Data '!A30</f>
        <v>120</v>
      </c>
      <c r="G22" s="442"/>
      <c r="H22" s="442"/>
      <c r="I22" s="443"/>
      <c r="J22" s="418" t="e">
        <f>'Data '!T30</f>
        <v>#DIV/0!</v>
      </c>
      <c r="K22" s="419"/>
      <c r="L22" s="419"/>
      <c r="M22" s="420"/>
      <c r="N22" s="418" t="e">
        <f>F22-J22</f>
        <v>#DIV/0!</v>
      </c>
      <c r="O22" s="419"/>
      <c r="P22" s="419"/>
      <c r="Q22" s="420"/>
      <c r="R22" s="424" t="e">
        <f>'Uncertainty Budget'!O19</f>
        <v>#DIV/0!</v>
      </c>
      <c r="S22" s="425"/>
      <c r="T22" s="425"/>
      <c r="U22" s="426"/>
      <c r="V22" s="152"/>
      <c r="W22" s="152"/>
    </row>
    <row r="23" spans="1:25" s="150" customFormat="1" ht="21" customHeight="1">
      <c r="B23" s="134"/>
      <c r="C23" s="133"/>
      <c r="F23" s="441">
        <f>'Data '!A31</f>
        <v>160</v>
      </c>
      <c r="G23" s="442"/>
      <c r="H23" s="442"/>
      <c r="I23" s="443"/>
      <c r="J23" s="418" t="e">
        <f>'Data '!T31</f>
        <v>#DIV/0!</v>
      </c>
      <c r="K23" s="419"/>
      <c r="L23" s="419"/>
      <c r="M23" s="420"/>
      <c r="N23" s="418" t="e">
        <f>F23-J23</f>
        <v>#DIV/0!</v>
      </c>
      <c r="O23" s="419"/>
      <c r="P23" s="419"/>
      <c r="Q23" s="420"/>
      <c r="R23" s="424" t="e">
        <f>'Uncertainty Budget'!O20</f>
        <v>#DIV/0!</v>
      </c>
      <c r="S23" s="425"/>
      <c r="T23" s="425"/>
      <c r="U23" s="426"/>
      <c r="V23" s="152"/>
      <c r="W23" s="152"/>
    </row>
    <row r="24" spans="1:25" s="150" customFormat="1" ht="21" customHeight="1">
      <c r="B24" s="134"/>
      <c r="C24" s="133"/>
      <c r="F24" s="431">
        <f>'Data '!A32</f>
        <v>200</v>
      </c>
      <c r="G24" s="432"/>
      <c r="H24" s="432"/>
      <c r="I24" s="433"/>
      <c r="J24" s="421" t="e">
        <f>'Data '!T32</f>
        <v>#DIV/0!</v>
      </c>
      <c r="K24" s="422"/>
      <c r="L24" s="422"/>
      <c r="M24" s="423"/>
      <c r="N24" s="421" t="e">
        <f>F24-J24</f>
        <v>#DIV/0!</v>
      </c>
      <c r="O24" s="422"/>
      <c r="P24" s="422"/>
      <c r="Q24" s="423"/>
      <c r="R24" s="427" t="e">
        <f>'Uncertainty Budget'!O21</f>
        <v>#DIV/0!</v>
      </c>
      <c r="S24" s="428"/>
      <c r="T24" s="428"/>
      <c r="U24" s="429"/>
      <c r="V24" s="152"/>
      <c r="W24" s="152"/>
    </row>
    <row r="25" spans="1:25" ht="21" customHeight="1">
      <c r="B25" s="135"/>
      <c r="C25" s="133"/>
      <c r="U25" s="153"/>
      <c r="V25" s="153"/>
      <c r="X25" s="154"/>
      <c r="Y25" s="155"/>
    </row>
    <row r="26" spans="1:25" ht="21" customHeight="1">
      <c r="C26" s="61" t="s">
        <v>80</v>
      </c>
      <c r="E26" s="145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6"/>
      <c r="S26" s="155"/>
      <c r="T26" s="156"/>
      <c r="U26" s="158"/>
      <c r="V26" s="158"/>
      <c r="W26" s="156"/>
      <c r="X26" s="154"/>
      <c r="Y26" s="155"/>
    </row>
    <row r="27" spans="1:25" ht="21" customHeight="1">
      <c r="A27" s="434" t="s">
        <v>81</v>
      </c>
      <c r="B27" s="434"/>
      <c r="C27" s="434"/>
      <c r="D27" s="434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4"/>
      <c r="P27" s="434"/>
      <c r="Q27" s="434"/>
      <c r="R27" s="434"/>
      <c r="S27" s="434"/>
      <c r="T27" s="434"/>
      <c r="U27" s="434"/>
      <c r="V27" s="434"/>
      <c r="W27" s="434"/>
      <c r="X27" s="434"/>
      <c r="Y27" s="434"/>
    </row>
    <row r="28" spans="1:25" ht="21" customHeight="1">
      <c r="A28" s="434" t="s">
        <v>82</v>
      </c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4"/>
      <c r="W28" s="434"/>
      <c r="X28" s="434"/>
      <c r="Y28" s="434"/>
    </row>
    <row r="29" spans="1:25" ht="21" customHeight="1">
      <c r="A29" s="430" t="s">
        <v>83</v>
      </c>
      <c r="B29" s="430"/>
      <c r="C29" s="430"/>
      <c r="D29" s="430"/>
      <c r="E29" s="430"/>
      <c r="F29" s="430"/>
      <c r="G29" s="430"/>
      <c r="H29" s="430"/>
      <c r="I29" s="430"/>
      <c r="J29" s="430"/>
      <c r="K29" s="430"/>
      <c r="L29" s="430"/>
      <c r="M29" s="430"/>
      <c r="N29" s="430"/>
      <c r="O29" s="430"/>
      <c r="P29" s="430"/>
      <c r="Q29" s="430"/>
      <c r="R29" s="430"/>
      <c r="S29" s="430"/>
      <c r="T29" s="430"/>
      <c r="U29" s="430"/>
      <c r="V29" s="430"/>
      <c r="W29" s="430"/>
      <c r="X29" s="430"/>
      <c r="Y29" s="430"/>
    </row>
    <row r="30" spans="1:25" ht="21" customHeight="1">
      <c r="X30" s="133"/>
      <c r="Y30" s="133"/>
    </row>
    <row r="31" spans="1:25" ht="18" customHeight="1">
      <c r="W31" s="159"/>
      <c r="Y31" s="133"/>
    </row>
    <row r="32" spans="1:25" ht="18" customHeight="1">
      <c r="W32" s="159"/>
      <c r="Y32" s="133"/>
    </row>
    <row r="33" spans="2:29" ht="18" customHeight="1"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60"/>
      <c r="Y33" s="133"/>
    </row>
    <row r="34" spans="2:29" ht="18" customHeight="1"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61"/>
    </row>
    <row r="35" spans="2:29" ht="18" customHeight="1">
      <c r="Y35" s="133"/>
    </row>
    <row r="36" spans="2:29" ht="18" customHeight="1">
      <c r="Y36" s="133"/>
      <c r="Z36" s="417"/>
      <c r="AA36" s="417"/>
      <c r="AB36" s="417"/>
      <c r="AC36" s="417"/>
    </row>
    <row r="37" spans="2:29" ht="18" customHeight="1">
      <c r="Y37" s="133"/>
    </row>
    <row r="38" spans="2:29" ht="18" customHeight="1"/>
    <row r="39" spans="2:29" ht="18" customHeight="1"/>
    <row r="40" spans="2:29" ht="18" customHeight="1"/>
    <row r="41" spans="2:29" ht="18" customHeight="1"/>
    <row r="42" spans="2:29" ht="18" customHeight="1"/>
    <row r="43" spans="2:29" ht="18" customHeight="1"/>
    <row r="44" spans="2:29" ht="18" customHeight="1"/>
    <row r="45" spans="2:29" ht="18" customHeight="1"/>
    <row r="46" spans="2:29" ht="18" customHeight="1"/>
    <row r="47" spans="2:29" ht="18" customHeight="1"/>
    <row r="48" spans="2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</sheetData>
  <mergeCells count="55">
    <mergeCell ref="A27:Y27"/>
    <mergeCell ref="A3:Y3"/>
    <mergeCell ref="R14:U14"/>
    <mergeCell ref="R15:U15"/>
    <mergeCell ref="S17:T17"/>
    <mergeCell ref="S8:T8"/>
    <mergeCell ref="R11:U11"/>
    <mergeCell ref="R12:U12"/>
    <mergeCell ref="R13:U13"/>
    <mergeCell ref="J14:M14"/>
    <mergeCell ref="J15:M15"/>
    <mergeCell ref="N11:Q11"/>
    <mergeCell ref="F15:I15"/>
    <mergeCell ref="N9:Q10"/>
    <mergeCell ref="J11:M11"/>
    <mergeCell ref="F11:I11"/>
    <mergeCell ref="N12:Q12"/>
    <mergeCell ref="J20:M20"/>
    <mergeCell ref="N20:Q20"/>
    <mergeCell ref="R20:U20"/>
    <mergeCell ref="F18:I19"/>
    <mergeCell ref="J18:M19"/>
    <mergeCell ref="R18:U19"/>
    <mergeCell ref="R9:U10"/>
    <mergeCell ref="F21:I21"/>
    <mergeCell ref="F22:I22"/>
    <mergeCell ref="F23:I23"/>
    <mergeCell ref="N13:Q13"/>
    <mergeCell ref="N14:Q14"/>
    <mergeCell ref="N15:Q15"/>
    <mergeCell ref="F20:I20"/>
    <mergeCell ref="F12:I12"/>
    <mergeCell ref="F13:I13"/>
    <mergeCell ref="F14:I14"/>
    <mergeCell ref="J12:M12"/>
    <mergeCell ref="J13:M13"/>
    <mergeCell ref="J9:M10"/>
    <mergeCell ref="F9:I10"/>
    <mergeCell ref="N18:Q19"/>
    <mergeCell ref="Z36:AC36"/>
    <mergeCell ref="J21:M21"/>
    <mergeCell ref="J22:M22"/>
    <mergeCell ref="J23:M23"/>
    <mergeCell ref="J24:M24"/>
    <mergeCell ref="R21:U21"/>
    <mergeCell ref="R22:U22"/>
    <mergeCell ref="R23:U23"/>
    <mergeCell ref="R24:U24"/>
    <mergeCell ref="A29:Y29"/>
    <mergeCell ref="F24:I24"/>
    <mergeCell ref="N21:Q21"/>
    <mergeCell ref="N22:Q22"/>
    <mergeCell ref="N23:Q23"/>
    <mergeCell ref="N24:Q24"/>
    <mergeCell ref="A28:Y28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109"/>
  <sheetViews>
    <sheetView tabSelected="1" topLeftCell="A2" zoomScaleNormal="100" workbookViewId="0">
      <selection activeCell="N19" sqref="N19"/>
    </sheetView>
  </sheetViews>
  <sheetFormatPr defaultRowHeight="15"/>
  <cols>
    <col min="1" max="1" width="1.140625" style="1" customWidth="1"/>
    <col min="2" max="15" width="8.7109375" style="1" customWidth="1"/>
    <col min="16" max="16" width="1.42578125" style="1" customWidth="1"/>
    <col min="23" max="251" width="9.140625" style="1"/>
    <col min="252" max="252" width="1.140625" style="1" customWidth="1"/>
    <col min="253" max="253" width="7.5703125" style="1" customWidth="1"/>
    <col min="254" max="268" width="7.140625" style="1" customWidth="1"/>
    <col min="269" max="270" width="1.42578125" style="1" customWidth="1"/>
    <col min="271" max="271" width="6.42578125" style="1" customWidth="1"/>
    <col min="272" max="273" width="8.7109375" style="1" bestFit="1" customWidth="1"/>
    <col min="274" max="507" width="9.140625" style="1"/>
    <col min="508" max="508" width="1.140625" style="1" customWidth="1"/>
    <col min="509" max="509" width="7.5703125" style="1" customWidth="1"/>
    <col min="510" max="524" width="7.140625" style="1" customWidth="1"/>
    <col min="525" max="526" width="1.42578125" style="1" customWidth="1"/>
    <col min="527" max="527" width="6.42578125" style="1" customWidth="1"/>
    <col min="528" max="529" width="8.7109375" style="1" bestFit="1" customWidth="1"/>
    <col min="530" max="763" width="9.140625" style="1"/>
    <col min="764" max="764" width="1.140625" style="1" customWidth="1"/>
    <col min="765" max="765" width="7.5703125" style="1" customWidth="1"/>
    <col min="766" max="780" width="7.140625" style="1" customWidth="1"/>
    <col min="781" max="782" width="1.42578125" style="1" customWidth="1"/>
    <col min="783" max="783" width="6.42578125" style="1" customWidth="1"/>
    <col min="784" max="785" width="8.7109375" style="1" bestFit="1" customWidth="1"/>
    <col min="786" max="1019" width="9.140625" style="1"/>
    <col min="1020" max="1020" width="1.140625" style="1" customWidth="1"/>
    <col min="1021" max="1021" width="7.5703125" style="1" customWidth="1"/>
    <col min="1022" max="1036" width="7.140625" style="1" customWidth="1"/>
    <col min="1037" max="1038" width="1.42578125" style="1" customWidth="1"/>
    <col min="1039" max="1039" width="6.42578125" style="1" customWidth="1"/>
    <col min="1040" max="1041" width="8.7109375" style="1" bestFit="1" customWidth="1"/>
    <col min="1042" max="1275" width="9.140625" style="1"/>
    <col min="1276" max="1276" width="1.140625" style="1" customWidth="1"/>
    <col min="1277" max="1277" width="7.5703125" style="1" customWidth="1"/>
    <col min="1278" max="1292" width="7.140625" style="1" customWidth="1"/>
    <col min="1293" max="1294" width="1.42578125" style="1" customWidth="1"/>
    <col min="1295" max="1295" width="6.42578125" style="1" customWidth="1"/>
    <col min="1296" max="1297" width="8.7109375" style="1" bestFit="1" customWidth="1"/>
    <col min="1298" max="1531" width="9.140625" style="1"/>
    <col min="1532" max="1532" width="1.140625" style="1" customWidth="1"/>
    <col min="1533" max="1533" width="7.5703125" style="1" customWidth="1"/>
    <col min="1534" max="1548" width="7.140625" style="1" customWidth="1"/>
    <col min="1549" max="1550" width="1.42578125" style="1" customWidth="1"/>
    <col min="1551" max="1551" width="6.42578125" style="1" customWidth="1"/>
    <col min="1552" max="1553" width="8.7109375" style="1" bestFit="1" customWidth="1"/>
    <col min="1554" max="1787" width="9.140625" style="1"/>
    <col min="1788" max="1788" width="1.140625" style="1" customWidth="1"/>
    <col min="1789" max="1789" width="7.5703125" style="1" customWidth="1"/>
    <col min="1790" max="1804" width="7.140625" style="1" customWidth="1"/>
    <col min="1805" max="1806" width="1.42578125" style="1" customWidth="1"/>
    <col min="1807" max="1807" width="6.42578125" style="1" customWidth="1"/>
    <col min="1808" max="1809" width="8.7109375" style="1" bestFit="1" customWidth="1"/>
    <col min="1810" max="2043" width="9.140625" style="1"/>
    <col min="2044" max="2044" width="1.140625" style="1" customWidth="1"/>
    <col min="2045" max="2045" width="7.5703125" style="1" customWidth="1"/>
    <col min="2046" max="2060" width="7.140625" style="1" customWidth="1"/>
    <col min="2061" max="2062" width="1.42578125" style="1" customWidth="1"/>
    <col min="2063" max="2063" width="6.42578125" style="1" customWidth="1"/>
    <col min="2064" max="2065" width="8.7109375" style="1" bestFit="1" customWidth="1"/>
    <col min="2066" max="2299" width="9.140625" style="1"/>
    <col min="2300" max="2300" width="1.140625" style="1" customWidth="1"/>
    <col min="2301" max="2301" width="7.5703125" style="1" customWidth="1"/>
    <col min="2302" max="2316" width="7.140625" style="1" customWidth="1"/>
    <col min="2317" max="2318" width="1.42578125" style="1" customWidth="1"/>
    <col min="2319" max="2319" width="6.42578125" style="1" customWidth="1"/>
    <col min="2320" max="2321" width="8.7109375" style="1" bestFit="1" customWidth="1"/>
    <col min="2322" max="2555" width="9.140625" style="1"/>
    <col min="2556" max="2556" width="1.140625" style="1" customWidth="1"/>
    <col min="2557" max="2557" width="7.5703125" style="1" customWidth="1"/>
    <col min="2558" max="2572" width="7.140625" style="1" customWidth="1"/>
    <col min="2573" max="2574" width="1.42578125" style="1" customWidth="1"/>
    <col min="2575" max="2575" width="6.42578125" style="1" customWidth="1"/>
    <col min="2576" max="2577" width="8.7109375" style="1" bestFit="1" customWidth="1"/>
    <col min="2578" max="2811" width="9.140625" style="1"/>
    <col min="2812" max="2812" width="1.140625" style="1" customWidth="1"/>
    <col min="2813" max="2813" width="7.5703125" style="1" customWidth="1"/>
    <col min="2814" max="2828" width="7.140625" style="1" customWidth="1"/>
    <col min="2829" max="2830" width="1.42578125" style="1" customWidth="1"/>
    <col min="2831" max="2831" width="6.42578125" style="1" customWidth="1"/>
    <col min="2832" max="2833" width="8.7109375" style="1" bestFit="1" customWidth="1"/>
    <col min="2834" max="3067" width="9.140625" style="1"/>
    <col min="3068" max="3068" width="1.140625" style="1" customWidth="1"/>
    <col min="3069" max="3069" width="7.5703125" style="1" customWidth="1"/>
    <col min="3070" max="3084" width="7.140625" style="1" customWidth="1"/>
    <col min="3085" max="3086" width="1.42578125" style="1" customWidth="1"/>
    <col min="3087" max="3087" width="6.42578125" style="1" customWidth="1"/>
    <col min="3088" max="3089" width="8.7109375" style="1" bestFit="1" customWidth="1"/>
    <col min="3090" max="3323" width="9.140625" style="1"/>
    <col min="3324" max="3324" width="1.140625" style="1" customWidth="1"/>
    <col min="3325" max="3325" width="7.5703125" style="1" customWidth="1"/>
    <col min="3326" max="3340" width="7.140625" style="1" customWidth="1"/>
    <col min="3341" max="3342" width="1.42578125" style="1" customWidth="1"/>
    <col min="3343" max="3343" width="6.42578125" style="1" customWidth="1"/>
    <col min="3344" max="3345" width="8.7109375" style="1" bestFit="1" customWidth="1"/>
    <col min="3346" max="3579" width="9.140625" style="1"/>
    <col min="3580" max="3580" width="1.140625" style="1" customWidth="1"/>
    <col min="3581" max="3581" width="7.5703125" style="1" customWidth="1"/>
    <col min="3582" max="3596" width="7.140625" style="1" customWidth="1"/>
    <col min="3597" max="3598" width="1.42578125" style="1" customWidth="1"/>
    <col min="3599" max="3599" width="6.42578125" style="1" customWidth="1"/>
    <col min="3600" max="3601" width="8.7109375" style="1" bestFit="1" customWidth="1"/>
    <col min="3602" max="3835" width="9.140625" style="1"/>
    <col min="3836" max="3836" width="1.140625" style="1" customWidth="1"/>
    <col min="3837" max="3837" width="7.5703125" style="1" customWidth="1"/>
    <col min="3838" max="3852" width="7.140625" style="1" customWidth="1"/>
    <col min="3853" max="3854" width="1.42578125" style="1" customWidth="1"/>
    <col min="3855" max="3855" width="6.42578125" style="1" customWidth="1"/>
    <col min="3856" max="3857" width="8.7109375" style="1" bestFit="1" customWidth="1"/>
    <col min="3858" max="4091" width="9.140625" style="1"/>
    <col min="4092" max="4092" width="1.140625" style="1" customWidth="1"/>
    <col min="4093" max="4093" width="7.5703125" style="1" customWidth="1"/>
    <col min="4094" max="4108" width="7.140625" style="1" customWidth="1"/>
    <col min="4109" max="4110" width="1.42578125" style="1" customWidth="1"/>
    <col min="4111" max="4111" width="6.42578125" style="1" customWidth="1"/>
    <col min="4112" max="4113" width="8.7109375" style="1" bestFit="1" customWidth="1"/>
    <col min="4114" max="4347" width="9.140625" style="1"/>
    <col min="4348" max="4348" width="1.140625" style="1" customWidth="1"/>
    <col min="4349" max="4349" width="7.5703125" style="1" customWidth="1"/>
    <col min="4350" max="4364" width="7.140625" style="1" customWidth="1"/>
    <col min="4365" max="4366" width="1.42578125" style="1" customWidth="1"/>
    <col min="4367" max="4367" width="6.42578125" style="1" customWidth="1"/>
    <col min="4368" max="4369" width="8.7109375" style="1" bestFit="1" customWidth="1"/>
    <col min="4370" max="4603" width="9.140625" style="1"/>
    <col min="4604" max="4604" width="1.140625" style="1" customWidth="1"/>
    <col min="4605" max="4605" width="7.5703125" style="1" customWidth="1"/>
    <col min="4606" max="4620" width="7.140625" style="1" customWidth="1"/>
    <col min="4621" max="4622" width="1.42578125" style="1" customWidth="1"/>
    <col min="4623" max="4623" width="6.42578125" style="1" customWidth="1"/>
    <col min="4624" max="4625" width="8.7109375" style="1" bestFit="1" customWidth="1"/>
    <col min="4626" max="4859" width="9.140625" style="1"/>
    <col min="4860" max="4860" width="1.140625" style="1" customWidth="1"/>
    <col min="4861" max="4861" width="7.5703125" style="1" customWidth="1"/>
    <col min="4862" max="4876" width="7.140625" style="1" customWidth="1"/>
    <col min="4877" max="4878" width="1.42578125" style="1" customWidth="1"/>
    <col min="4879" max="4879" width="6.42578125" style="1" customWidth="1"/>
    <col min="4880" max="4881" width="8.7109375" style="1" bestFit="1" customWidth="1"/>
    <col min="4882" max="5115" width="9.140625" style="1"/>
    <col min="5116" max="5116" width="1.140625" style="1" customWidth="1"/>
    <col min="5117" max="5117" width="7.5703125" style="1" customWidth="1"/>
    <col min="5118" max="5132" width="7.140625" style="1" customWidth="1"/>
    <col min="5133" max="5134" width="1.42578125" style="1" customWidth="1"/>
    <col min="5135" max="5135" width="6.42578125" style="1" customWidth="1"/>
    <col min="5136" max="5137" width="8.7109375" style="1" bestFit="1" customWidth="1"/>
    <col min="5138" max="5371" width="9.140625" style="1"/>
    <col min="5372" max="5372" width="1.140625" style="1" customWidth="1"/>
    <col min="5373" max="5373" width="7.5703125" style="1" customWidth="1"/>
    <col min="5374" max="5388" width="7.140625" style="1" customWidth="1"/>
    <col min="5389" max="5390" width="1.42578125" style="1" customWidth="1"/>
    <col min="5391" max="5391" width="6.42578125" style="1" customWidth="1"/>
    <col min="5392" max="5393" width="8.7109375" style="1" bestFit="1" customWidth="1"/>
    <col min="5394" max="5627" width="9.140625" style="1"/>
    <col min="5628" max="5628" width="1.140625" style="1" customWidth="1"/>
    <col min="5629" max="5629" width="7.5703125" style="1" customWidth="1"/>
    <col min="5630" max="5644" width="7.140625" style="1" customWidth="1"/>
    <col min="5645" max="5646" width="1.42578125" style="1" customWidth="1"/>
    <col min="5647" max="5647" width="6.42578125" style="1" customWidth="1"/>
    <col min="5648" max="5649" width="8.7109375" style="1" bestFit="1" customWidth="1"/>
    <col min="5650" max="5883" width="9.140625" style="1"/>
    <col min="5884" max="5884" width="1.140625" style="1" customWidth="1"/>
    <col min="5885" max="5885" width="7.5703125" style="1" customWidth="1"/>
    <col min="5886" max="5900" width="7.140625" style="1" customWidth="1"/>
    <col min="5901" max="5902" width="1.42578125" style="1" customWidth="1"/>
    <col min="5903" max="5903" width="6.42578125" style="1" customWidth="1"/>
    <col min="5904" max="5905" width="8.7109375" style="1" bestFit="1" customWidth="1"/>
    <col min="5906" max="6139" width="9.140625" style="1"/>
    <col min="6140" max="6140" width="1.140625" style="1" customWidth="1"/>
    <col min="6141" max="6141" width="7.5703125" style="1" customWidth="1"/>
    <col min="6142" max="6156" width="7.140625" style="1" customWidth="1"/>
    <col min="6157" max="6158" width="1.42578125" style="1" customWidth="1"/>
    <col min="6159" max="6159" width="6.42578125" style="1" customWidth="1"/>
    <col min="6160" max="6161" width="8.7109375" style="1" bestFit="1" customWidth="1"/>
    <col min="6162" max="6395" width="9.140625" style="1"/>
    <col min="6396" max="6396" width="1.140625" style="1" customWidth="1"/>
    <col min="6397" max="6397" width="7.5703125" style="1" customWidth="1"/>
    <col min="6398" max="6412" width="7.140625" style="1" customWidth="1"/>
    <col min="6413" max="6414" width="1.42578125" style="1" customWidth="1"/>
    <col min="6415" max="6415" width="6.42578125" style="1" customWidth="1"/>
    <col min="6416" max="6417" width="8.7109375" style="1" bestFit="1" customWidth="1"/>
    <col min="6418" max="6651" width="9.140625" style="1"/>
    <col min="6652" max="6652" width="1.140625" style="1" customWidth="1"/>
    <col min="6653" max="6653" width="7.5703125" style="1" customWidth="1"/>
    <col min="6654" max="6668" width="7.140625" style="1" customWidth="1"/>
    <col min="6669" max="6670" width="1.42578125" style="1" customWidth="1"/>
    <col min="6671" max="6671" width="6.42578125" style="1" customWidth="1"/>
    <col min="6672" max="6673" width="8.7109375" style="1" bestFit="1" customWidth="1"/>
    <col min="6674" max="6907" width="9.140625" style="1"/>
    <col min="6908" max="6908" width="1.140625" style="1" customWidth="1"/>
    <col min="6909" max="6909" width="7.5703125" style="1" customWidth="1"/>
    <col min="6910" max="6924" width="7.140625" style="1" customWidth="1"/>
    <col min="6925" max="6926" width="1.42578125" style="1" customWidth="1"/>
    <col min="6927" max="6927" width="6.42578125" style="1" customWidth="1"/>
    <col min="6928" max="6929" width="8.7109375" style="1" bestFit="1" customWidth="1"/>
    <col min="6930" max="7163" width="9.140625" style="1"/>
    <col min="7164" max="7164" width="1.140625" style="1" customWidth="1"/>
    <col min="7165" max="7165" width="7.5703125" style="1" customWidth="1"/>
    <col min="7166" max="7180" width="7.140625" style="1" customWidth="1"/>
    <col min="7181" max="7182" width="1.42578125" style="1" customWidth="1"/>
    <col min="7183" max="7183" width="6.42578125" style="1" customWidth="1"/>
    <col min="7184" max="7185" width="8.7109375" style="1" bestFit="1" customWidth="1"/>
    <col min="7186" max="7419" width="9.140625" style="1"/>
    <col min="7420" max="7420" width="1.140625" style="1" customWidth="1"/>
    <col min="7421" max="7421" width="7.5703125" style="1" customWidth="1"/>
    <col min="7422" max="7436" width="7.140625" style="1" customWidth="1"/>
    <col min="7437" max="7438" width="1.42578125" style="1" customWidth="1"/>
    <col min="7439" max="7439" width="6.42578125" style="1" customWidth="1"/>
    <col min="7440" max="7441" width="8.7109375" style="1" bestFit="1" customWidth="1"/>
    <col min="7442" max="7675" width="9.140625" style="1"/>
    <col min="7676" max="7676" width="1.140625" style="1" customWidth="1"/>
    <col min="7677" max="7677" width="7.5703125" style="1" customWidth="1"/>
    <col min="7678" max="7692" width="7.140625" style="1" customWidth="1"/>
    <col min="7693" max="7694" width="1.42578125" style="1" customWidth="1"/>
    <col min="7695" max="7695" width="6.42578125" style="1" customWidth="1"/>
    <col min="7696" max="7697" width="8.7109375" style="1" bestFit="1" customWidth="1"/>
    <col min="7698" max="7931" width="9.140625" style="1"/>
    <col min="7932" max="7932" width="1.140625" style="1" customWidth="1"/>
    <col min="7933" max="7933" width="7.5703125" style="1" customWidth="1"/>
    <col min="7934" max="7948" width="7.140625" style="1" customWidth="1"/>
    <col min="7949" max="7950" width="1.42578125" style="1" customWidth="1"/>
    <col min="7951" max="7951" width="6.42578125" style="1" customWidth="1"/>
    <col min="7952" max="7953" width="8.7109375" style="1" bestFit="1" customWidth="1"/>
    <col min="7954" max="8187" width="9.140625" style="1"/>
    <col min="8188" max="8188" width="1.140625" style="1" customWidth="1"/>
    <col min="8189" max="8189" width="7.5703125" style="1" customWidth="1"/>
    <col min="8190" max="8204" width="7.140625" style="1" customWidth="1"/>
    <col min="8205" max="8206" width="1.42578125" style="1" customWidth="1"/>
    <col min="8207" max="8207" width="6.42578125" style="1" customWidth="1"/>
    <col min="8208" max="8209" width="8.7109375" style="1" bestFit="1" customWidth="1"/>
    <col min="8210" max="8443" width="9.140625" style="1"/>
    <col min="8444" max="8444" width="1.140625" style="1" customWidth="1"/>
    <col min="8445" max="8445" width="7.5703125" style="1" customWidth="1"/>
    <col min="8446" max="8460" width="7.140625" style="1" customWidth="1"/>
    <col min="8461" max="8462" width="1.42578125" style="1" customWidth="1"/>
    <col min="8463" max="8463" width="6.42578125" style="1" customWidth="1"/>
    <col min="8464" max="8465" width="8.7109375" style="1" bestFit="1" customWidth="1"/>
    <col min="8466" max="8699" width="9.140625" style="1"/>
    <col min="8700" max="8700" width="1.140625" style="1" customWidth="1"/>
    <col min="8701" max="8701" width="7.5703125" style="1" customWidth="1"/>
    <col min="8702" max="8716" width="7.140625" style="1" customWidth="1"/>
    <col min="8717" max="8718" width="1.42578125" style="1" customWidth="1"/>
    <col min="8719" max="8719" width="6.42578125" style="1" customWidth="1"/>
    <col min="8720" max="8721" width="8.7109375" style="1" bestFit="1" customWidth="1"/>
    <col min="8722" max="8955" width="9.140625" style="1"/>
    <col min="8956" max="8956" width="1.140625" style="1" customWidth="1"/>
    <col min="8957" max="8957" width="7.5703125" style="1" customWidth="1"/>
    <col min="8958" max="8972" width="7.140625" style="1" customWidth="1"/>
    <col min="8973" max="8974" width="1.42578125" style="1" customWidth="1"/>
    <col min="8975" max="8975" width="6.42578125" style="1" customWidth="1"/>
    <col min="8976" max="8977" width="8.7109375" style="1" bestFit="1" customWidth="1"/>
    <col min="8978" max="9211" width="9.140625" style="1"/>
    <col min="9212" max="9212" width="1.140625" style="1" customWidth="1"/>
    <col min="9213" max="9213" width="7.5703125" style="1" customWidth="1"/>
    <col min="9214" max="9228" width="7.140625" style="1" customWidth="1"/>
    <col min="9229" max="9230" width="1.42578125" style="1" customWidth="1"/>
    <col min="9231" max="9231" width="6.42578125" style="1" customWidth="1"/>
    <col min="9232" max="9233" width="8.7109375" style="1" bestFit="1" customWidth="1"/>
    <col min="9234" max="9467" width="9.140625" style="1"/>
    <col min="9468" max="9468" width="1.140625" style="1" customWidth="1"/>
    <col min="9469" max="9469" width="7.5703125" style="1" customWidth="1"/>
    <col min="9470" max="9484" width="7.140625" style="1" customWidth="1"/>
    <col min="9485" max="9486" width="1.42578125" style="1" customWidth="1"/>
    <col min="9487" max="9487" width="6.42578125" style="1" customWidth="1"/>
    <col min="9488" max="9489" width="8.7109375" style="1" bestFit="1" customWidth="1"/>
    <col min="9490" max="9723" width="9.140625" style="1"/>
    <col min="9724" max="9724" width="1.140625" style="1" customWidth="1"/>
    <col min="9725" max="9725" width="7.5703125" style="1" customWidth="1"/>
    <col min="9726" max="9740" width="7.140625" style="1" customWidth="1"/>
    <col min="9741" max="9742" width="1.42578125" style="1" customWidth="1"/>
    <col min="9743" max="9743" width="6.42578125" style="1" customWidth="1"/>
    <col min="9744" max="9745" width="8.7109375" style="1" bestFit="1" customWidth="1"/>
    <col min="9746" max="9979" width="9.140625" style="1"/>
    <col min="9980" max="9980" width="1.140625" style="1" customWidth="1"/>
    <col min="9981" max="9981" width="7.5703125" style="1" customWidth="1"/>
    <col min="9982" max="9996" width="7.140625" style="1" customWidth="1"/>
    <col min="9997" max="9998" width="1.42578125" style="1" customWidth="1"/>
    <col min="9999" max="9999" width="6.42578125" style="1" customWidth="1"/>
    <col min="10000" max="10001" width="8.7109375" style="1" bestFit="1" customWidth="1"/>
    <col min="10002" max="10235" width="9.140625" style="1"/>
    <col min="10236" max="10236" width="1.140625" style="1" customWidth="1"/>
    <col min="10237" max="10237" width="7.5703125" style="1" customWidth="1"/>
    <col min="10238" max="10252" width="7.140625" style="1" customWidth="1"/>
    <col min="10253" max="10254" width="1.42578125" style="1" customWidth="1"/>
    <col min="10255" max="10255" width="6.42578125" style="1" customWidth="1"/>
    <col min="10256" max="10257" width="8.7109375" style="1" bestFit="1" customWidth="1"/>
    <col min="10258" max="10491" width="9.140625" style="1"/>
    <col min="10492" max="10492" width="1.140625" style="1" customWidth="1"/>
    <col min="10493" max="10493" width="7.5703125" style="1" customWidth="1"/>
    <col min="10494" max="10508" width="7.140625" style="1" customWidth="1"/>
    <col min="10509" max="10510" width="1.42578125" style="1" customWidth="1"/>
    <col min="10511" max="10511" width="6.42578125" style="1" customWidth="1"/>
    <col min="10512" max="10513" width="8.7109375" style="1" bestFit="1" customWidth="1"/>
    <col min="10514" max="10747" width="9.140625" style="1"/>
    <col min="10748" max="10748" width="1.140625" style="1" customWidth="1"/>
    <col min="10749" max="10749" width="7.5703125" style="1" customWidth="1"/>
    <col min="10750" max="10764" width="7.140625" style="1" customWidth="1"/>
    <col min="10765" max="10766" width="1.42578125" style="1" customWidth="1"/>
    <col min="10767" max="10767" width="6.42578125" style="1" customWidth="1"/>
    <col min="10768" max="10769" width="8.7109375" style="1" bestFit="1" customWidth="1"/>
    <col min="10770" max="11003" width="9.140625" style="1"/>
    <col min="11004" max="11004" width="1.140625" style="1" customWidth="1"/>
    <col min="11005" max="11005" width="7.5703125" style="1" customWidth="1"/>
    <col min="11006" max="11020" width="7.140625" style="1" customWidth="1"/>
    <col min="11021" max="11022" width="1.42578125" style="1" customWidth="1"/>
    <col min="11023" max="11023" width="6.42578125" style="1" customWidth="1"/>
    <col min="11024" max="11025" width="8.7109375" style="1" bestFit="1" customWidth="1"/>
    <col min="11026" max="11259" width="9.140625" style="1"/>
    <col min="11260" max="11260" width="1.140625" style="1" customWidth="1"/>
    <col min="11261" max="11261" width="7.5703125" style="1" customWidth="1"/>
    <col min="11262" max="11276" width="7.140625" style="1" customWidth="1"/>
    <col min="11277" max="11278" width="1.42578125" style="1" customWidth="1"/>
    <col min="11279" max="11279" width="6.42578125" style="1" customWidth="1"/>
    <col min="11280" max="11281" width="8.7109375" style="1" bestFit="1" customWidth="1"/>
    <col min="11282" max="11515" width="9.140625" style="1"/>
    <col min="11516" max="11516" width="1.140625" style="1" customWidth="1"/>
    <col min="11517" max="11517" width="7.5703125" style="1" customWidth="1"/>
    <col min="11518" max="11532" width="7.140625" style="1" customWidth="1"/>
    <col min="11533" max="11534" width="1.42578125" style="1" customWidth="1"/>
    <col min="11535" max="11535" width="6.42578125" style="1" customWidth="1"/>
    <col min="11536" max="11537" width="8.7109375" style="1" bestFit="1" customWidth="1"/>
    <col min="11538" max="11771" width="9.140625" style="1"/>
    <col min="11772" max="11772" width="1.140625" style="1" customWidth="1"/>
    <col min="11773" max="11773" width="7.5703125" style="1" customWidth="1"/>
    <col min="11774" max="11788" width="7.140625" style="1" customWidth="1"/>
    <col min="11789" max="11790" width="1.42578125" style="1" customWidth="1"/>
    <col min="11791" max="11791" width="6.42578125" style="1" customWidth="1"/>
    <col min="11792" max="11793" width="8.7109375" style="1" bestFit="1" customWidth="1"/>
    <col min="11794" max="12027" width="9.140625" style="1"/>
    <col min="12028" max="12028" width="1.140625" style="1" customWidth="1"/>
    <col min="12029" max="12029" width="7.5703125" style="1" customWidth="1"/>
    <col min="12030" max="12044" width="7.140625" style="1" customWidth="1"/>
    <col min="12045" max="12046" width="1.42578125" style="1" customWidth="1"/>
    <col min="12047" max="12047" width="6.42578125" style="1" customWidth="1"/>
    <col min="12048" max="12049" width="8.7109375" style="1" bestFit="1" customWidth="1"/>
    <col min="12050" max="12283" width="9.140625" style="1"/>
    <col min="12284" max="12284" width="1.140625" style="1" customWidth="1"/>
    <col min="12285" max="12285" width="7.5703125" style="1" customWidth="1"/>
    <col min="12286" max="12300" width="7.140625" style="1" customWidth="1"/>
    <col min="12301" max="12302" width="1.42578125" style="1" customWidth="1"/>
    <col min="12303" max="12303" width="6.42578125" style="1" customWidth="1"/>
    <col min="12304" max="12305" width="8.7109375" style="1" bestFit="1" customWidth="1"/>
    <col min="12306" max="12539" width="9.140625" style="1"/>
    <col min="12540" max="12540" width="1.140625" style="1" customWidth="1"/>
    <col min="12541" max="12541" width="7.5703125" style="1" customWidth="1"/>
    <col min="12542" max="12556" width="7.140625" style="1" customWidth="1"/>
    <col min="12557" max="12558" width="1.42578125" style="1" customWidth="1"/>
    <col min="12559" max="12559" width="6.42578125" style="1" customWidth="1"/>
    <col min="12560" max="12561" width="8.7109375" style="1" bestFit="1" customWidth="1"/>
    <col min="12562" max="12795" width="9.140625" style="1"/>
    <col min="12796" max="12796" width="1.140625" style="1" customWidth="1"/>
    <col min="12797" max="12797" width="7.5703125" style="1" customWidth="1"/>
    <col min="12798" max="12812" width="7.140625" style="1" customWidth="1"/>
    <col min="12813" max="12814" width="1.42578125" style="1" customWidth="1"/>
    <col min="12815" max="12815" width="6.42578125" style="1" customWidth="1"/>
    <col min="12816" max="12817" width="8.7109375" style="1" bestFit="1" customWidth="1"/>
    <col min="12818" max="13051" width="9.140625" style="1"/>
    <col min="13052" max="13052" width="1.140625" style="1" customWidth="1"/>
    <col min="13053" max="13053" width="7.5703125" style="1" customWidth="1"/>
    <col min="13054" max="13068" width="7.140625" style="1" customWidth="1"/>
    <col min="13069" max="13070" width="1.42578125" style="1" customWidth="1"/>
    <col min="13071" max="13071" width="6.42578125" style="1" customWidth="1"/>
    <col min="13072" max="13073" width="8.7109375" style="1" bestFit="1" customWidth="1"/>
    <col min="13074" max="13307" width="9.140625" style="1"/>
    <col min="13308" max="13308" width="1.140625" style="1" customWidth="1"/>
    <col min="13309" max="13309" width="7.5703125" style="1" customWidth="1"/>
    <col min="13310" max="13324" width="7.140625" style="1" customWidth="1"/>
    <col min="13325" max="13326" width="1.42578125" style="1" customWidth="1"/>
    <col min="13327" max="13327" width="6.42578125" style="1" customWidth="1"/>
    <col min="13328" max="13329" width="8.7109375" style="1" bestFit="1" customWidth="1"/>
    <col min="13330" max="13563" width="9.140625" style="1"/>
    <col min="13564" max="13564" width="1.140625" style="1" customWidth="1"/>
    <col min="13565" max="13565" width="7.5703125" style="1" customWidth="1"/>
    <col min="13566" max="13580" width="7.140625" style="1" customWidth="1"/>
    <col min="13581" max="13582" width="1.42578125" style="1" customWidth="1"/>
    <col min="13583" max="13583" width="6.42578125" style="1" customWidth="1"/>
    <col min="13584" max="13585" width="8.7109375" style="1" bestFit="1" customWidth="1"/>
    <col min="13586" max="13819" width="9.140625" style="1"/>
    <col min="13820" max="13820" width="1.140625" style="1" customWidth="1"/>
    <col min="13821" max="13821" width="7.5703125" style="1" customWidth="1"/>
    <col min="13822" max="13836" width="7.140625" style="1" customWidth="1"/>
    <col min="13837" max="13838" width="1.42578125" style="1" customWidth="1"/>
    <col min="13839" max="13839" width="6.42578125" style="1" customWidth="1"/>
    <col min="13840" max="13841" width="8.7109375" style="1" bestFit="1" customWidth="1"/>
    <col min="13842" max="14075" width="9.140625" style="1"/>
    <col min="14076" max="14076" width="1.140625" style="1" customWidth="1"/>
    <col min="14077" max="14077" width="7.5703125" style="1" customWidth="1"/>
    <col min="14078" max="14092" width="7.140625" style="1" customWidth="1"/>
    <col min="14093" max="14094" width="1.42578125" style="1" customWidth="1"/>
    <col min="14095" max="14095" width="6.42578125" style="1" customWidth="1"/>
    <col min="14096" max="14097" width="8.7109375" style="1" bestFit="1" customWidth="1"/>
    <col min="14098" max="14331" width="9.140625" style="1"/>
    <col min="14332" max="14332" width="1.140625" style="1" customWidth="1"/>
    <col min="14333" max="14333" width="7.5703125" style="1" customWidth="1"/>
    <col min="14334" max="14348" width="7.140625" style="1" customWidth="1"/>
    <col min="14349" max="14350" width="1.42578125" style="1" customWidth="1"/>
    <col min="14351" max="14351" width="6.42578125" style="1" customWidth="1"/>
    <col min="14352" max="14353" width="8.7109375" style="1" bestFit="1" customWidth="1"/>
    <col min="14354" max="14587" width="9.140625" style="1"/>
    <col min="14588" max="14588" width="1.140625" style="1" customWidth="1"/>
    <col min="14589" max="14589" width="7.5703125" style="1" customWidth="1"/>
    <col min="14590" max="14604" width="7.140625" style="1" customWidth="1"/>
    <col min="14605" max="14606" width="1.42578125" style="1" customWidth="1"/>
    <col min="14607" max="14607" width="6.42578125" style="1" customWidth="1"/>
    <col min="14608" max="14609" width="8.7109375" style="1" bestFit="1" customWidth="1"/>
    <col min="14610" max="14843" width="9.140625" style="1"/>
    <col min="14844" max="14844" width="1.140625" style="1" customWidth="1"/>
    <col min="14845" max="14845" width="7.5703125" style="1" customWidth="1"/>
    <col min="14846" max="14860" width="7.140625" style="1" customWidth="1"/>
    <col min="14861" max="14862" width="1.42578125" style="1" customWidth="1"/>
    <col min="14863" max="14863" width="6.42578125" style="1" customWidth="1"/>
    <col min="14864" max="14865" width="8.7109375" style="1" bestFit="1" customWidth="1"/>
    <col min="14866" max="15099" width="9.140625" style="1"/>
    <col min="15100" max="15100" width="1.140625" style="1" customWidth="1"/>
    <col min="15101" max="15101" width="7.5703125" style="1" customWidth="1"/>
    <col min="15102" max="15116" width="7.140625" style="1" customWidth="1"/>
    <col min="15117" max="15118" width="1.42578125" style="1" customWidth="1"/>
    <col min="15119" max="15119" width="6.42578125" style="1" customWidth="1"/>
    <col min="15120" max="15121" width="8.7109375" style="1" bestFit="1" customWidth="1"/>
    <col min="15122" max="15355" width="9.140625" style="1"/>
    <col min="15356" max="15356" width="1.140625" style="1" customWidth="1"/>
    <col min="15357" max="15357" width="7.5703125" style="1" customWidth="1"/>
    <col min="15358" max="15372" width="7.140625" style="1" customWidth="1"/>
    <col min="15373" max="15374" width="1.42578125" style="1" customWidth="1"/>
    <col min="15375" max="15375" width="6.42578125" style="1" customWidth="1"/>
    <col min="15376" max="15377" width="8.7109375" style="1" bestFit="1" customWidth="1"/>
    <col min="15378" max="15611" width="9.140625" style="1"/>
    <col min="15612" max="15612" width="1.140625" style="1" customWidth="1"/>
    <col min="15613" max="15613" width="7.5703125" style="1" customWidth="1"/>
    <col min="15614" max="15628" width="7.140625" style="1" customWidth="1"/>
    <col min="15629" max="15630" width="1.42578125" style="1" customWidth="1"/>
    <col min="15631" max="15631" width="6.42578125" style="1" customWidth="1"/>
    <col min="15632" max="15633" width="8.7109375" style="1" bestFit="1" customWidth="1"/>
    <col min="15634" max="15867" width="9.140625" style="1"/>
    <col min="15868" max="15868" width="1.140625" style="1" customWidth="1"/>
    <col min="15869" max="15869" width="7.5703125" style="1" customWidth="1"/>
    <col min="15870" max="15884" width="7.140625" style="1" customWidth="1"/>
    <col min="15885" max="15886" width="1.42578125" style="1" customWidth="1"/>
    <col min="15887" max="15887" width="6.42578125" style="1" customWidth="1"/>
    <col min="15888" max="15889" width="8.7109375" style="1" bestFit="1" customWidth="1"/>
    <col min="15890" max="16123" width="9.140625" style="1"/>
    <col min="16124" max="16124" width="1.140625" style="1" customWidth="1"/>
    <col min="16125" max="16125" width="7.5703125" style="1" customWidth="1"/>
    <col min="16126" max="16140" width="7.140625" style="1" customWidth="1"/>
    <col min="16141" max="16142" width="1.42578125" style="1" customWidth="1"/>
    <col min="16143" max="16143" width="6.42578125" style="1" customWidth="1"/>
    <col min="16144" max="16145" width="8.7109375" style="1" bestFit="1" customWidth="1"/>
    <col min="16146" max="16384" width="9.140625" style="1"/>
  </cols>
  <sheetData>
    <row r="1" spans="1:25" ht="18" customHeight="1">
      <c r="B1" s="7"/>
      <c r="C1" s="7"/>
      <c r="D1" s="7"/>
      <c r="E1" s="7"/>
      <c r="F1" s="7"/>
    </row>
    <row r="2" spans="1:25" ht="33" customHeight="1">
      <c r="B2" s="455" t="s">
        <v>9</v>
      </c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</row>
    <row r="3" spans="1:25" ht="18" customHeight="1">
      <c r="B3" s="456" t="s">
        <v>47</v>
      </c>
      <c r="C3" s="456"/>
      <c r="D3" s="456"/>
      <c r="E3" s="456"/>
      <c r="F3" s="456"/>
      <c r="G3" s="9"/>
      <c r="H3" s="9"/>
      <c r="O3" s="9"/>
    </row>
    <row r="4" spans="1:25" ht="21" customHeight="1">
      <c r="B4" s="225" t="s">
        <v>5</v>
      </c>
      <c r="C4" s="457" t="s">
        <v>0</v>
      </c>
      <c r="D4" s="458"/>
      <c r="E4" s="457" t="s">
        <v>10</v>
      </c>
      <c r="F4" s="458"/>
      <c r="G4" s="459" t="s">
        <v>11</v>
      </c>
      <c r="H4" s="460"/>
      <c r="I4" s="457" t="s">
        <v>12</v>
      </c>
      <c r="J4" s="458"/>
      <c r="K4" s="461" t="s">
        <v>1</v>
      </c>
      <c r="L4" s="461" t="s">
        <v>2</v>
      </c>
      <c r="M4" s="461" t="s">
        <v>6</v>
      </c>
      <c r="N4" s="461" t="s">
        <v>7</v>
      </c>
      <c r="O4" s="226" t="s">
        <v>8</v>
      </c>
      <c r="W4" s="2"/>
      <c r="X4" s="2"/>
      <c r="Y4" s="2"/>
    </row>
    <row r="5" spans="1:25" ht="21" customHeight="1">
      <c r="B5" s="227" t="s">
        <v>19</v>
      </c>
      <c r="C5" s="463" t="s">
        <v>19</v>
      </c>
      <c r="D5" s="464"/>
      <c r="E5" s="463" t="s">
        <v>19</v>
      </c>
      <c r="F5" s="464"/>
      <c r="G5" s="463" t="s">
        <v>19</v>
      </c>
      <c r="H5" s="464"/>
      <c r="I5" s="463" t="s">
        <v>19</v>
      </c>
      <c r="J5" s="464"/>
      <c r="K5" s="462"/>
      <c r="L5" s="462"/>
      <c r="M5" s="462"/>
      <c r="N5" s="462"/>
      <c r="O5" s="228" t="s">
        <v>19</v>
      </c>
      <c r="W5" s="2"/>
      <c r="X5" s="2"/>
      <c r="Y5" s="2"/>
    </row>
    <row r="6" spans="1:25" ht="21" customHeight="1">
      <c r="B6" s="25" t="s">
        <v>3</v>
      </c>
      <c r="C6" s="25" t="s">
        <v>3</v>
      </c>
      <c r="D6" s="26" t="s">
        <v>2</v>
      </c>
      <c r="E6" s="25" t="s">
        <v>3</v>
      </c>
      <c r="F6" s="26" t="s">
        <v>2</v>
      </c>
      <c r="G6" s="25" t="s">
        <v>3</v>
      </c>
      <c r="H6" s="26" t="s">
        <v>2</v>
      </c>
      <c r="I6" s="25" t="s">
        <v>3</v>
      </c>
      <c r="J6" s="26" t="s">
        <v>2</v>
      </c>
      <c r="K6" s="25" t="s">
        <v>3</v>
      </c>
      <c r="L6" s="25" t="s">
        <v>3</v>
      </c>
      <c r="M6" s="25" t="s">
        <v>3</v>
      </c>
      <c r="N6" s="27" t="s">
        <v>3</v>
      </c>
      <c r="O6" s="229" t="s">
        <v>3</v>
      </c>
      <c r="P6" s="3"/>
      <c r="W6" s="2"/>
      <c r="X6" s="2"/>
      <c r="Y6" s="2"/>
    </row>
    <row r="7" spans="1:25" ht="21" customHeight="1">
      <c r="A7" s="2"/>
      <c r="B7" s="28">
        <f>'Data '!A19</f>
        <v>40</v>
      </c>
      <c r="C7" s="32" t="e">
        <f>'Data '!AB19</f>
        <v>#DIV/0!</v>
      </c>
      <c r="D7" s="31" t="e">
        <f t="shared" ref="D7:D11" si="0">C7/1</f>
        <v>#DIV/0!</v>
      </c>
      <c r="E7" s="47">
        <f>'[24]Cert of STD'!E6</f>
        <v>8.0000000000000004E-4</v>
      </c>
      <c r="F7" s="30">
        <f t="shared" ref="F7:F11" si="1">E7/2</f>
        <v>4.0000000000000002E-4</v>
      </c>
      <c r="G7" s="31">
        <f>0.001/2</f>
        <v>5.0000000000000001E-4</v>
      </c>
      <c r="H7" s="31">
        <f t="shared" ref="H7:H11" si="2">G7/SQRT(3)</f>
        <v>2.886751345948129E-4</v>
      </c>
      <c r="I7" s="32">
        <f>'Data '!P9/2</f>
        <v>0.05</v>
      </c>
      <c r="J7" s="33">
        <f t="shared" ref="J7:J11" si="3">(I7/SQRT(3))</f>
        <v>2.8867513459481291E-2</v>
      </c>
      <c r="K7" s="31" t="e">
        <f>SQRT(SUMSQ(D7,F7,H7,J7))</f>
        <v>#DIV/0!</v>
      </c>
      <c r="L7" s="34" t="e">
        <f t="shared" ref="L7:L11" si="4">D7/1</f>
        <v>#DIV/0!</v>
      </c>
      <c r="M7" s="35" t="e">
        <f>IF(L7=0,"∞",(K7^4/(L7^4/3)))</f>
        <v>#DIV/0!</v>
      </c>
      <c r="N7" s="28" t="e">
        <f>IF(OR(M7="∞",M7&gt;10000000000),2,_xlfn.T.INV.2T(0.0455,M7))</f>
        <v>#DIV/0!</v>
      </c>
      <c r="O7" s="230" t="e">
        <f>K7*N7</f>
        <v>#DIV/0!</v>
      </c>
      <c r="P7" s="3"/>
      <c r="W7" s="2"/>
      <c r="X7" s="2"/>
      <c r="Y7" s="2"/>
    </row>
    <row r="8" spans="1:25" ht="21" customHeight="1">
      <c r="A8" s="2"/>
      <c r="B8" s="28">
        <f>'Data '!A20</f>
        <v>80</v>
      </c>
      <c r="C8" s="32" t="e">
        <f>'Data '!AB20</f>
        <v>#DIV/0!</v>
      </c>
      <c r="D8" s="31" t="e">
        <f t="shared" si="0"/>
        <v>#DIV/0!</v>
      </c>
      <c r="E8" s="47">
        <f>'[24]Cert of STD'!E10</f>
        <v>8.0000000000000004E-4</v>
      </c>
      <c r="F8" s="30">
        <f t="shared" si="1"/>
        <v>4.0000000000000002E-4</v>
      </c>
      <c r="G8" s="31">
        <f>0.001/2</f>
        <v>5.0000000000000001E-4</v>
      </c>
      <c r="H8" s="31">
        <f t="shared" si="2"/>
        <v>2.886751345948129E-4</v>
      </c>
      <c r="I8" s="32">
        <f>I7</f>
        <v>0.05</v>
      </c>
      <c r="J8" s="33">
        <f t="shared" si="3"/>
        <v>2.8867513459481291E-2</v>
      </c>
      <c r="K8" s="31" t="e">
        <f t="shared" ref="K8:K11" si="5">SQRT(SUMSQ(D8,F8,H8,J8))</f>
        <v>#DIV/0!</v>
      </c>
      <c r="L8" s="34" t="e">
        <f t="shared" si="4"/>
        <v>#DIV/0!</v>
      </c>
      <c r="M8" s="35" t="e">
        <f t="shared" ref="M8:M11" si="6">IF(L8=0,"∞",(K8^4/(L8^4/3)))</f>
        <v>#DIV/0!</v>
      </c>
      <c r="N8" s="28" t="e">
        <f t="shared" ref="N8:N11" si="7">IF(OR(M8="∞",M8&gt;10000000000),2,_xlfn.T.INV.2T(0.0455,M8))</f>
        <v>#DIV/0!</v>
      </c>
      <c r="O8" s="230" t="e">
        <f t="shared" ref="O8:O11" si="8">K8*N8</f>
        <v>#DIV/0!</v>
      </c>
      <c r="P8" s="3"/>
      <c r="W8" s="2"/>
      <c r="X8" s="2"/>
      <c r="Y8" s="2"/>
    </row>
    <row r="9" spans="1:25" s="2" customFormat="1" ht="21" customHeight="1">
      <c r="B9" s="28">
        <f>'Data '!A21</f>
        <v>120</v>
      </c>
      <c r="C9" s="32" t="e">
        <f>'Data '!AB21</f>
        <v>#DIV/0!</v>
      </c>
      <c r="D9" s="31" t="e">
        <f t="shared" si="0"/>
        <v>#DIV/0!</v>
      </c>
      <c r="E9" s="29">
        <f>'[24]Cert of STD'!K6</f>
        <v>1.6E-2</v>
      </c>
      <c r="F9" s="30">
        <f t="shared" si="1"/>
        <v>8.0000000000000002E-3</v>
      </c>
      <c r="G9" s="31">
        <f>0.01/2</f>
        <v>5.0000000000000001E-3</v>
      </c>
      <c r="H9" s="31">
        <f t="shared" si="2"/>
        <v>2.886751345948129E-3</v>
      </c>
      <c r="I9" s="32">
        <f t="shared" ref="I9:I11" si="9">I8</f>
        <v>0.05</v>
      </c>
      <c r="J9" s="33">
        <f t="shared" si="3"/>
        <v>2.8867513459481291E-2</v>
      </c>
      <c r="K9" s="31" t="e">
        <f t="shared" si="5"/>
        <v>#DIV/0!</v>
      </c>
      <c r="L9" s="34" t="e">
        <f t="shared" si="4"/>
        <v>#DIV/0!</v>
      </c>
      <c r="M9" s="35" t="e">
        <f t="shared" si="6"/>
        <v>#DIV/0!</v>
      </c>
      <c r="N9" s="28" t="e">
        <f t="shared" si="7"/>
        <v>#DIV/0!</v>
      </c>
      <c r="O9" s="230" t="e">
        <f t="shared" si="8"/>
        <v>#DIV/0!</v>
      </c>
      <c r="P9" s="4"/>
    </row>
    <row r="10" spans="1:25" s="2" customFormat="1" ht="21" customHeight="1">
      <c r="B10" s="28">
        <f>'Data '!A22</f>
        <v>160</v>
      </c>
      <c r="C10" s="32" t="e">
        <f>'Data '!AB22</f>
        <v>#DIV/0!</v>
      </c>
      <c r="D10" s="31" t="e">
        <f t="shared" si="0"/>
        <v>#DIV/0!</v>
      </c>
      <c r="E10" s="29">
        <f>'[24]Cert of STD'!K7</f>
        <v>3.2000000000000001E-2</v>
      </c>
      <c r="F10" s="30">
        <f t="shared" si="1"/>
        <v>1.6E-2</v>
      </c>
      <c r="G10" s="31">
        <f t="shared" ref="G10:G11" si="10">0.01/2</f>
        <v>5.0000000000000001E-3</v>
      </c>
      <c r="H10" s="31">
        <f t="shared" si="2"/>
        <v>2.886751345948129E-3</v>
      </c>
      <c r="I10" s="32">
        <f t="shared" si="9"/>
        <v>0.05</v>
      </c>
      <c r="J10" s="33">
        <f t="shared" si="3"/>
        <v>2.8867513459481291E-2</v>
      </c>
      <c r="K10" s="31" t="e">
        <f t="shared" si="5"/>
        <v>#DIV/0!</v>
      </c>
      <c r="L10" s="34" t="e">
        <f t="shared" si="4"/>
        <v>#DIV/0!</v>
      </c>
      <c r="M10" s="35" t="e">
        <f t="shared" si="6"/>
        <v>#DIV/0!</v>
      </c>
      <c r="N10" s="28" t="e">
        <f t="shared" si="7"/>
        <v>#DIV/0!</v>
      </c>
      <c r="O10" s="230" t="e">
        <f t="shared" si="8"/>
        <v>#DIV/0!</v>
      </c>
      <c r="P10" s="4"/>
    </row>
    <row r="11" spans="1:25" s="2" customFormat="1" ht="21" customHeight="1">
      <c r="B11" s="28">
        <f>'Data '!A23</f>
        <v>200</v>
      </c>
      <c r="C11" s="32" t="e">
        <f>'Data '!AB23</f>
        <v>#DIV/0!</v>
      </c>
      <c r="D11" s="31" t="e">
        <f t="shared" si="0"/>
        <v>#DIV/0!</v>
      </c>
      <c r="E11" s="29">
        <f>'[24]Cert of STD'!K8</f>
        <v>4.8000000000000001E-2</v>
      </c>
      <c r="F11" s="30">
        <f t="shared" si="1"/>
        <v>2.4E-2</v>
      </c>
      <c r="G11" s="31">
        <f t="shared" si="10"/>
        <v>5.0000000000000001E-3</v>
      </c>
      <c r="H11" s="31">
        <f t="shared" si="2"/>
        <v>2.886751345948129E-3</v>
      </c>
      <c r="I11" s="32">
        <f t="shared" si="9"/>
        <v>0.05</v>
      </c>
      <c r="J11" s="33">
        <f t="shared" si="3"/>
        <v>2.8867513459481291E-2</v>
      </c>
      <c r="K11" s="31" t="e">
        <f t="shared" si="5"/>
        <v>#DIV/0!</v>
      </c>
      <c r="L11" s="34" t="e">
        <f t="shared" si="4"/>
        <v>#DIV/0!</v>
      </c>
      <c r="M11" s="35" t="e">
        <f t="shared" si="6"/>
        <v>#DIV/0!</v>
      </c>
      <c r="N11" s="28" t="e">
        <f t="shared" si="7"/>
        <v>#DIV/0!</v>
      </c>
      <c r="O11" s="230" t="e">
        <f t="shared" si="8"/>
        <v>#DIV/0!</v>
      </c>
      <c r="P11" s="4"/>
    </row>
    <row r="12" spans="1:25" s="2" customFormat="1" ht="18" customHeight="1">
      <c r="A12" s="1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5"/>
      <c r="O12" s="6"/>
      <c r="W12" s="1"/>
      <c r="X12" s="1"/>
      <c r="Y12" s="1"/>
    </row>
    <row r="13" spans="1:25" ht="18" customHeight="1">
      <c r="B13" s="456" t="s">
        <v>48</v>
      </c>
      <c r="C13" s="456"/>
      <c r="D13" s="456"/>
      <c r="E13" s="456"/>
      <c r="F13" s="456"/>
      <c r="G13" s="9"/>
      <c r="H13" s="9"/>
      <c r="O13" s="9"/>
    </row>
    <row r="14" spans="1:25" ht="21" customHeight="1">
      <c r="B14" s="225" t="s">
        <v>5</v>
      </c>
      <c r="C14" s="457" t="s">
        <v>0</v>
      </c>
      <c r="D14" s="458"/>
      <c r="E14" s="457" t="s">
        <v>10</v>
      </c>
      <c r="F14" s="458"/>
      <c r="G14" s="459" t="s">
        <v>11</v>
      </c>
      <c r="H14" s="460"/>
      <c r="I14" s="457" t="s">
        <v>12</v>
      </c>
      <c r="J14" s="458"/>
      <c r="K14" s="461" t="s">
        <v>1</v>
      </c>
      <c r="L14" s="461" t="s">
        <v>2</v>
      </c>
      <c r="M14" s="461" t="s">
        <v>6</v>
      </c>
      <c r="N14" s="461" t="s">
        <v>7</v>
      </c>
      <c r="O14" s="226" t="s">
        <v>8</v>
      </c>
      <c r="W14" s="2"/>
      <c r="X14" s="2"/>
      <c r="Y14" s="2"/>
    </row>
    <row r="15" spans="1:25" ht="21" customHeight="1">
      <c r="B15" s="227" t="s">
        <v>19</v>
      </c>
      <c r="C15" s="463" t="s">
        <v>19</v>
      </c>
      <c r="D15" s="464"/>
      <c r="E15" s="463" t="s">
        <v>19</v>
      </c>
      <c r="F15" s="464"/>
      <c r="G15" s="463" t="s">
        <v>19</v>
      </c>
      <c r="H15" s="464"/>
      <c r="I15" s="463" t="s">
        <v>19</v>
      </c>
      <c r="J15" s="464"/>
      <c r="K15" s="462"/>
      <c r="L15" s="462"/>
      <c r="M15" s="462"/>
      <c r="N15" s="462"/>
      <c r="O15" s="228" t="s">
        <v>19</v>
      </c>
      <c r="W15" s="2"/>
      <c r="X15" s="2"/>
      <c r="Y15" s="2"/>
    </row>
    <row r="16" spans="1:25" ht="21" customHeight="1">
      <c r="B16" s="25" t="s">
        <v>3</v>
      </c>
      <c r="C16" s="25" t="s">
        <v>3</v>
      </c>
      <c r="D16" s="26" t="s">
        <v>2</v>
      </c>
      <c r="E16" s="25" t="s">
        <v>3</v>
      </c>
      <c r="F16" s="26" t="s">
        <v>2</v>
      </c>
      <c r="G16" s="25" t="s">
        <v>3</v>
      </c>
      <c r="H16" s="26" t="s">
        <v>2</v>
      </c>
      <c r="I16" s="25" t="s">
        <v>3</v>
      </c>
      <c r="J16" s="26" t="s">
        <v>2</v>
      </c>
      <c r="K16" s="25" t="s">
        <v>3</v>
      </c>
      <c r="L16" s="25" t="s">
        <v>3</v>
      </c>
      <c r="M16" s="25" t="s">
        <v>3</v>
      </c>
      <c r="N16" s="27" t="s">
        <v>3</v>
      </c>
      <c r="O16" s="229" t="s">
        <v>3</v>
      </c>
      <c r="P16" s="3"/>
      <c r="W16" s="2"/>
      <c r="X16" s="2"/>
      <c r="Y16" s="2"/>
    </row>
    <row r="17" spans="1:25" ht="21" customHeight="1">
      <c r="A17" s="2"/>
      <c r="B17" s="28">
        <f>'Data '!A28</f>
        <v>40</v>
      </c>
      <c r="C17" s="32" t="e">
        <f>'Data '!AB28</f>
        <v>#DIV/0!</v>
      </c>
      <c r="D17" s="31" t="e">
        <f t="shared" ref="D17:D21" si="11">C17/1</f>
        <v>#DIV/0!</v>
      </c>
      <c r="E17" s="47">
        <f>'[24]Cert of STD'!Q15</f>
        <v>6.8999999999999995</v>
      </c>
      <c r="F17" s="30">
        <f t="shared" ref="F17:F21" si="12">E17/2</f>
        <v>3.4499999999999997</v>
      </c>
      <c r="G17" s="31">
        <f>0.01/2</f>
        <v>5.0000000000000001E-3</v>
      </c>
      <c r="H17" s="31">
        <f t="shared" ref="H17:H21" si="13">G17/SQRT(3)</f>
        <v>2.886751345948129E-3</v>
      </c>
      <c r="I17" s="32">
        <f>I11</f>
        <v>0.05</v>
      </c>
      <c r="J17" s="33">
        <f t="shared" ref="J17:J21" si="14">(I17/SQRT(3))</f>
        <v>2.8867513459481291E-2</v>
      </c>
      <c r="K17" s="31" t="e">
        <f>SQRT(SUMSQ(D17,F17,H17,J17))</f>
        <v>#DIV/0!</v>
      </c>
      <c r="L17" s="34" t="e">
        <f t="shared" ref="L17:L21" si="15">D17/1</f>
        <v>#DIV/0!</v>
      </c>
      <c r="M17" s="35" t="e">
        <f>IF(L17=0,"∞",(K17^4/(L17^4/3)))</f>
        <v>#DIV/0!</v>
      </c>
      <c r="N17" s="28" t="e">
        <f>IF(OR(M17="∞",M17&gt;10000000000),2,_xlfn.T.INV.2T(0.0455,M17))</f>
        <v>#DIV/0!</v>
      </c>
      <c r="O17" s="230" t="e">
        <f>K17*N17</f>
        <v>#DIV/0!</v>
      </c>
      <c r="P17" s="3"/>
      <c r="W17" s="2"/>
      <c r="X17" s="2"/>
      <c r="Y17" s="2"/>
    </row>
    <row r="18" spans="1:25" ht="21" customHeight="1">
      <c r="A18" s="2"/>
      <c r="B18" s="28">
        <f>'Data '!A29</f>
        <v>80</v>
      </c>
      <c r="C18" s="32" t="e">
        <f>'Data '!AB29</f>
        <v>#DIV/0!</v>
      </c>
      <c r="D18" s="31" t="e">
        <f t="shared" si="11"/>
        <v>#DIV/0!</v>
      </c>
      <c r="E18" s="47">
        <f>'[24]Cert of STD'!Q14</f>
        <v>5.84</v>
      </c>
      <c r="F18" s="30">
        <f t="shared" si="12"/>
        <v>2.92</v>
      </c>
      <c r="G18" s="31">
        <f>0.01/2</f>
        <v>5.0000000000000001E-3</v>
      </c>
      <c r="H18" s="31">
        <f t="shared" si="13"/>
        <v>2.886751345948129E-3</v>
      </c>
      <c r="I18" s="32">
        <f>I17</f>
        <v>0.05</v>
      </c>
      <c r="J18" s="33">
        <f t="shared" si="14"/>
        <v>2.8867513459481291E-2</v>
      </c>
      <c r="K18" s="31" t="e">
        <f t="shared" ref="K18:K21" si="16">SQRT(SUMSQ(D18,F18,H18,J18))</f>
        <v>#DIV/0!</v>
      </c>
      <c r="L18" s="34" t="e">
        <f t="shared" si="15"/>
        <v>#DIV/0!</v>
      </c>
      <c r="M18" s="35" t="e">
        <f t="shared" ref="M18:M21" si="17">IF(L18=0,"∞",(K18^4/(L18^4/3)))</f>
        <v>#DIV/0!</v>
      </c>
      <c r="N18" s="28" t="e">
        <f t="shared" ref="N18:N21" si="18">IF(OR(M18="∞",M18&gt;10000000000),2,_xlfn.T.INV.2T(0.0455,M18))</f>
        <v>#DIV/0!</v>
      </c>
      <c r="O18" s="230" t="e">
        <f t="shared" ref="O18:O21" si="19">K18*N18</f>
        <v>#DIV/0!</v>
      </c>
      <c r="P18" s="3"/>
      <c r="W18" s="2"/>
      <c r="X18" s="2"/>
      <c r="Y18" s="2"/>
    </row>
    <row r="19" spans="1:25" s="2" customFormat="1" ht="21" customHeight="1">
      <c r="B19" s="28">
        <f>'Data '!A30</f>
        <v>120</v>
      </c>
      <c r="C19" s="32" t="e">
        <f>'Data '!AB30</f>
        <v>#DIV/0!</v>
      </c>
      <c r="D19" s="31" t="e">
        <f t="shared" si="11"/>
        <v>#DIV/0!</v>
      </c>
      <c r="E19" s="29">
        <f>'[24]Cert of STD'!Q13</f>
        <v>4.8</v>
      </c>
      <c r="F19" s="30">
        <f t="shared" si="12"/>
        <v>2.4</v>
      </c>
      <c r="G19" s="31">
        <f>0.01/2</f>
        <v>5.0000000000000001E-3</v>
      </c>
      <c r="H19" s="31">
        <f t="shared" si="13"/>
        <v>2.886751345948129E-3</v>
      </c>
      <c r="I19" s="32">
        <f t="shared" ref="I19:I21" si="20">I18</f>
        <v>0.05</v>
      </c>
      <c r="J19" s="33">
        <f t="shared" si="14"/>
        <v>2.8867513459481291E-2</v>
      </c>
      <c r="K19" s="31" t="e">
        <f t="shared" si="16"/>
        <v>#DIV/0!</v>
      </c>
      <c r="L19" s="34" t="e">
        <f t="shared" si="15"/>
        <v>#DIV/0!</v>
      </c>
      <c r="M19" s="35" t="e">
        <f t="shared" si="17"/>
        <v>#DIV/0!</v>
      </c>
      <c r="N19" s="28" t="e">
        <f t="shared" si="18"/>
        <v>#DIV/0!</v>
      </c>
      <c r="O19" s="230" t="e">
        <f t="shared" si="19"/>
        <v>#DIV/0!</v>
      </c>
      <c r="P19" s="4"/>
    </row>
    <row r="20" spans="1:25" s="2" customFormat="1" ht="21" customHeight="1">
      <c r="B20" s="28">
        <f>'Data '!A31</f>
        <v>160</v>
      </c>
      <c r="C20" s="32" t="e">
        <f>'Data '!AB31</f>
        <v>#DIV/0!</v>
      </c>
      <c r="D20" s="31" t="e">
        <f t="shared" si="11"/>
        <v>#DIV/0!</v>
      </c>
      <c r="E20" s="29">
        <f>'[24]Cert of STD'!Q12</f>
        <v>3.7599999999999993</v>
      </c>
      <c r="F20" s="30">
        <f t="shared" si="12"/>
        <v>1.8799999999999997</v>
      </c>
      <c r="G20" s="31">
        <f t="shared" ref="G20:G21" si="21">0.01/2</f>
        <v>5.0000000000000001E-3</v>
      </c>
      <c r="H20" s="31">
        <f t="shared" si="13"/>
        <v>2.886751345948129E-3</v>
      </c>
      <c r="I20" s="32">
        <f t="shared" si="20"/>
        <v>0.05</v>
      </c>
      <c r="J20" s="33">
        <f t="shared" si="14"/>
        <v>2.8867513459481291E-2</v>
      </c>
      <c r="K20" s="31" t="e">
        <f t="shared" si="16"/>
        <v>#DIV/0!</v>
      </c>
      <c r="L20" s="34" t="e">
        <f t="shared" si="15"/>
        <v>#DIV/0!</v>
      </c>
      <c r="M20" s="35" t="e">
        <f t="shared" si="17"/>
        <v>#DIV/0!</v>
      </c>
      <c r="N20" s="28" t="e">
        <f t="shared" si="18"/>
        <v>#DIV/0!</v>
      </c>
      <c r="O20" s="230" t="e">
        <f t="shared" si="19"/>
        <v>#DIV/0!</v>
      </c>
      <c r="P20" s="4"/>
    </row>
    <row r="21" spans="1:25" s="2" customFormat="1" ht="21" customHeight="1">
      <c r="B21" s="28">
        <f>'Data '!A32</f>
        <v>200</v>
      </c>
      <c r="C21" s="32" t="e">
        <f>'Data '!AB32</f>
        <v>#DIV/0!</v>
      </c>
      <c r="D21" s="31" t="e">
        <f t="shared" si="11"/>
        <v>#DIV/0!</v>
      </c>
      <c r="E21" s="29">
        <f>'[24]Cert of STD'!Q11</f>
        <v>2.54</v>
      </c>
      <c r="F21" s="30">
        <f t="shared" si="12"/>
        <v>1.27</v>
      </c>
      <c r="G21" s="31">
        <f t="shared" si="21"/>
        <v>5.0000000000000001E-3</v>
      </c>
      <c r="H21" s="31">
        <f t="shared" si="13"/>
        <v>2.886751345948129E-3</v>
      </c>
      <c r="I21" s="32">
        <f t="shared" si="20"/>
        <v>0.05</v>
      </c>
      <c r="J21" s="33">
        <f t="shared" si="14"/>
        <v>2.8867513459481291E-2</v>
      </c>
      <c r="K21" s="31" t="e">
        <f t="shared" si="16"/>
        <v>#DIV/0!</v>
      </c>
      <c r="L21" s="34" t="e">
        <f t="shared" si="15"/>
        <v>#DIV/0!</v>
      </c>
      <c r="M21" s="35" t="e">
        <f t="shared" si="17"/>
        <v>#DIV/0!</v>
      </c>
      <c r="N21" s="28" t="e">
        <f t="shared" si="18"/>
        <v>#DIV/0!</v>
      </c>
      <c r="O21" s="230" t="e">
        <f t="shared" si="19"/>
        <v>#DIV/0!</v>
      </c>
      <c r="P21" s="4"/>
    </row>
    <row r="22" spans="1:25" s="8" customFormat="1" ht="18" customHeight="1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25" s="8" customFormat="1" ht="18" customHeight="1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25" s="8" customFormat="1" ht="18" customHeight="1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1:25" s="8" customFormat="1" ht="18" customHeight="1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25" s="8" customFormat="1" ht="18" customHeight="1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1:25" s="8" customFormat="1" ht="18" customHeight="1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25" s="8" customFormat="1" ht="18" customHeight="1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25" s="8" customFormat="1" ht="18" customHeight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25" s="8" customFormat="1" ht="18" customHeight="1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1:25" s="8" customFormat="1" ht="18" customHeight="1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</row>
    <row r="32" spans="1:25" s="8" customFormat="1" ht="18" customHeight="1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2:15" s="8" customFormat="1" ht="18" customHeight="1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2:15" s="8" customFormat="1" ht="1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2:15" s="8" customFormat="1" ht="1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</row>
    <row r="36" spans="2:15" s="8" customFormat="1" ht="1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</row>
    <row r="37" spans="2:15" s="8" customFormat="1" ht="1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2:15" s="8" customFormat="1" ht="1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2:15" s="8" customFormat="1" ht="1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2:15" s="8" customFormat="1" ht="1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2:15" s="8" customFormat="1" ht="1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2:15" s="8" customFormat="1" ht="1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2:15" s="8" customFormat="1" ht="1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2:15" s="8" customFormat="1" ht="1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2:15" s="8" customFormat="1" ht="1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2:15" s="8" customFormat="1" ht="1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</row>
    <row r="47" spans="2:15" s="8" customFormat="1" ht="1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2:15" s="8" customFormat="1" ht="1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2:15" s="8" customFormat="1" ht="1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2:15" s="8" customFormat="1" ht="1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2:15" s="8" customFormat="1" ht="1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2:15" s="8" customFormat="1" ht="1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2:15" s="8" customFormat="1" ht="1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2:15" s="8" customFormat="1" ht="1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2:15" s="8" customFormat="1" ht="1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2:15" s="8" customFormat="1" ht="1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2:15" s="8" customFormat="1" ht="1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2:15" s="8" customFormat="1" ht="1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2:15" s="8" customFormat="1" ht="1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2:15" s="8" customFormat="1" ht="1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5" s="8" customFormat="1" ht="1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2:15" s="8" customFormat="1" ht="1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2:15" s="8" customFormat="1" ht="1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2:15" s="8" customFormat="1" ht="1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2:15" s="8" customFormat="1" ht="1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2:15" s="8" customFormat="1" ht="1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2:15" s="8" customFormat="1" ht="12">
      <c r="B67" s="17"/>
      <c r="C67" s="17"/>
      <c r="D67" s="17"/>
      <c r="E67" s="18"/>
      <c r="F67" s="19"/>
      <c r="G67" s="16"/>
      <c r="H67" s="16"/>
      <c r="I67" s="16"/>
      <c r="J67" s="21"/>
      <c r="K67" s="18"/>
      <c r="L67" s="19"/>
      <c r="M67" s="14"/>
      <c r="N67" s="15"/>
      <c r="O67" s="12"/>
    </row>
    <row r="68" spans="2:15" s="8" customFormat="1" ht="12">
      <c r="B68" s="17"/>
      <c r="C68" s="17"/>
      <c r="D68" s="17"/>
      <c r="E68" s="18"/>
      <c r="F68" s="19"/>
      <c r="G68" s="16"/>
      <c r="H68" s="16"/>
      <c r="I68" s="16"/>
      <c r="J68" s="21"/>
      <c r="K68" s="18"/>
      <c r="L68" s="19"/>
      <c r="M68" s="14"/>
      <c r="N68" s="15"/>
      <c r="O68" s="12"/>
    </row>
    <row r="69" spans="2:15" s="8" customFormat="1" ht="12">
      <c r="B69" s="17"/>
      <c r="C69" s="17"/>
      <c r="D69" s="17"/>
      <c r="E69" s="18"/>
      <c r="F69" s="19"/>
      <c r="G69" s="16"/>
      <c r="H69" s="16"/>
      <c r="I69" s="16"/>
      <c r="J69" s="21"/>
      <c r="K69" s="18"/>
      <c r="L69" s="19"/>
      <c r="M69" s="14"/>
      <c r="N69" s="15"/>
      <c r="O69" s="12"/>
    </row>
    <row r="70" spans="2:15" s="8" customFormat="1" ht="12">
      <c r="B70" s="17"/>
      <c r="C70" s="17"/>
      <c r="D70" s="17"/>
      <c r="E70" s="18"/>
      <c r="F70" s="19"/>
      <c r="G70" s="16"/>
      <c r="H70" s="16"/>
      <c r="I70" s="16"/>
      <c r="J70" s="21"/>
      <c r="K70" s="18"/>
      <c r="L70" s="19"/>
      <c r="M70" s="14"/>
      <c r="N70" s="15"/>
      <c r="O70" s="12"/>
    </row>
    <row r="71" spans="2:15" s="8" customFormat="1" ht="12">
      <c r="B71" s="17"/>
      <c r="C71" s="17"/>
      <c r="D71" s="17"/>
      <c r="E71" s="18"/>
      <c r="F71" s="19"/>
      <c r="G71" s="16"/>
      <c r="H71" s="16"/>
      <c r="I71" s="16"/>
      <c r="J71" s="21"/>
      <c r="K71" s="18"/>
      <c r="L71" s="19"/>
      <c r="M71" s="14"/>
      <c r="N71" s="15"/>
      <c r="O71" s="12"/>
    </row>
    <row r="72" spans="2:15" s="8" customFormat="1" ht="12">
      <c r="B72" s="17"/>
      <c r="C72" s="17"/>
      <c r="D72" s="17"/>
      <c r="E72" s="18"/>
      <c r="F72" s="19"/>
      <c r="G72" s="16"/>
      <c r="H72" s="16"/>
      <c r="I72" s="16"/>
      <c r="J72" s="21"/>
      <c r="K72" s="18"/>
      <c r="L72" s="19"/>
      <c r="M72" s="14"/>
      <c r="N72" s="15"/>
      <c r="O72" s="12"/>
    </row>
    <row r="73" spans="2:15" s="8" customFormat="1" ht="12">
      <c r="B73" s="17"/>
      <c r="C73" s="17"/>
      <c r="D73" s="17"/>
      <c r="E73" s="18"/>
      <c r="F73" s="19"/>
      <c r="G73" s="16"/>
      <c r="H73" s="16"/>
      <c r="I73" s="16"/>
      <c r="J73" s="21"/>
      <c r="K73" s="18"/>
      <c r="L73" s="19"/>
      <c r="M73" s="14"/>
      <c r="N73" s="15"/>
      <c r="O73" s="12"/>
    </row>
    <row r="74" spans="2:15" s="8" customFormat="1" ht="12">
      <c r="B74" s="17"/>
      <c r="C74" s="17"/>
      <c r="D74" s="17"/>
      <c r="E74" s="18"/>
      <c r="F74" s="19"/>
      <c r="G74" s="16"/>
      <c r="H74" s="16"/>
      <c r="I74" s="16"/>
      <c r="J74" s="21"/>
      <c r="K74" s="18"/>
      <c r="L74" s="19"/>
      <c r="M74" s="14"/>
      <c r="N74" s="15"/>
      <c r="O74" s="12"/>
    </row>
    <row r="75" spans="2:15" s="8" customFormat="1" ht="12">
      <c r="B75" s="17"/>
      <c r="C75" s="17"/>
      <c r="D75" s="17"/>
      <c r="E75" s="18"/>
      <c r="F75" s="19"/>
      <c r="G75" s="16"/>
      <c r="H75" s="16"/>
      <c r="I75" s="16"/>
      <c r="J75" s="21"/>
      <c r="K75" s="18"/>
      <c r="L75" s="19"/>
      <c r="M75" s="14"/>
      <c r="N75" s="15"/>
      <c r="O75" s="12"/>
    </row>
    <row r="76" spans="2:15" s="8" customFormat="1" ht="12">
      <c r="B76" s="17"/>
      <c r="C76" s="17"/>
      <c r="D76" s="17"/>
      <c r="E76" s="18"/>
      <c r="F76" s="19"/>
      <c r="G76" s="16"/>
      <c r="H76" s="16"/>
      <c r="I76" s="16"/>
      <c r="J76" s="21"/>
      <c r="K76" s="18"/>
      <c r="L76" s="19"/>
      <c r="M76" s="14"/>
      <c r="N76" s="15"/>
      <c r="O76" s="12"/>
    </row>
    <row r="77" spans="2:15" s="8" customFormat="1" ht="12">
      <c r="B77" s="17"/>
      <c r="C77" s="17"/>
      <c r="D77" s="17"/>
      <c r="E77" s="18"/>
      <c r="F77" s="19"/>
      <c r="G77" s="16"/>
      <c r="H77" s="16"/>
      <c r="I77" s="16"/>
      <c r="J77" s="21"/>
      <c r="K77" s="18"/>
      <c r="L77" s="19"/>
      <c r="M77" s="14"/>
      <c r="N77" s="15"/>
      <c r="O77" s="12"/>
    </row>
    <row r="78" spans="2:15" s="8" customFormat="1" ht="12">
      <c r="B78" s="17"/>
      <c r="C78" s="17"/>
      <c r="D78" s="17"/>
      <c r="E78" s="18"/>
      <c r="F78" s="19"/>
      <c r="G78" s="16"/>
      <c r="H78" s="16"/>
      <c r="I78" s="16"/>
      <c r="J78" s="21"/>
      <c r="K78" s="18"/>
      <c r="L78" s="19"/>
      <c r="M78" s="14"/>
      <c r="N78" s="15"/>
      <c r="O78" s="12"/>
    </row>
    <row r="79" spans="2:15" s="8" customFormat="1" ht="12">
      <c r="B79" s="17"/>
      <c r="C79" s="17"/>
      <c r="D79" s="17"/>
      <c r="E79" s="18"/>
      <c r="F79" s="19"/>
      <c r="G79" s="16"/>
      <c r="H79" s="16"/>
      <c r="I79" s="16"/>
      <c r="J79" s="21"/>
      <c r="K79" s="18"/>
      <c r="L79" s="19"/>
      <c r="M79" s="14"/>
      <c r="N79" s="15"/>
      <c r="O79" s="12"/>
    </row>
    <row r="80" spans="2:15" s="8" customFormat="1" ht="12">
      <c r="B80" s="17"/>
      <c r="C80" s="17"/>
      <c r="D80" s="17"/>
      <c r="E80" s="18"/>
      <c r="F80" s="19"/>
      <c r="G80" s="16"/>
      <c r="H80" s="16"/>
      <c r="I80" s="16"/>
      <c r="J80" s="21"/>
      <c r="K80" s="18"/>
      <c r="L80" s="19"/>
      <c r="M80" s="14"/>
      <c r="N80" s="15"/>
      <c r="O80" s="12"/>
    </row>
    <row r="81" spans="2:15" s="8" customFormat="1" ht="12">
      <c r="B81" s="17"/>
      <c r="C81" s="17"/>
      <c r="D81" s="17"/>
      <c r="E81" s="18"/>
      <c r="F81" s="19"/>
      <c r="G81" s="16"/>
      <c r="H81" s="16"/>
      <c r="I81" s="16"/>
      <c r="J81" s="21"/>
      <c r="K81" s="18"/>
      <c r="L81" s="19"/>
      <c r="M81" s="14"/>
      <c r="N81" s="15"/>
      <c r="O81" s="12"/>
    </row>
    <row r="82" spans="2:15" s="8" customFormat="1" ht="12">
      <c r="B82" s="17"/>
      <c r="C82" s="17"/>
      <c r="D82" s="17"/>
      <c r="E82" s="18"/>
      <c r="F82" s="19"/>
      <c r="G82" s="16"/>
      <c r="H82" s="16"/>
      <c r="I82" s="16"/>
      <c r="J82" s="21"/>
      <c r="K82" s="18"/>
      <c r="L82" s="19"/>
      <c r="M82" s="14"/>
      <c r="N82" s="15"/>
      <c r="O82" s="12"/>
    </row>
    <row r="83" spans="2:15" s="8" customFormat="1" ht="12">
      <c r="B83" s="22"/>
      <c r="C83" s="22"/>
      <c r="D83" s="22"/>
      <c r="E83" s="22"/>
      <c r="F83" s="11"/>
      <c r="G83" s="11"/>
      <c r="H83" s="11"/>
      <c r="I83" s="11"/>
      <c r="J83" s="11"/>
      <c r="K83" s="11"/>
      <c r="L83" s="11"/>
      <c r="M83" s="14"/>
      <c r="N83" s="15"/>
      <c r="O83" s="12"/>
    </row>
    <row r="84" spans="2:15" s="8" customFormat="1" ht="12">
      <c r="B84" s="17"/>
      <c r="C84" s="17"/>
      <c r="D84" s="17"/>
      <c r="E84" s="18"/>
      <c r="F84" s="21"/>
      <c r="G84" s="20"/>
      <c r="H84" s="20"/>
      <c r="I84" s="20"/>
      <c r="J84" s="21"/>
      <c r="K84" s="20"/>
      <c r="L84" s="21"/>
      <c r="M84" s="14"/>
      <c r="N84" s="15"/>
      <c r="O84" s="12"/>
    </row>
    <row r="85" spans="2:15" s="8" customFormat="1" ht="12">
      <c r="B85" s="22"/>
      <c r="C85" s="22"/>
      <c r="D85" s="22"/>
      <c r="E85" s="22"/>
      <c r="F85" s="11"/>
      <c r="G85" s="11"/>
      <c r="H85" s="11"/>
      <c r="I85" s="11"/>
      <c r="J85" s="11"/>
      <c r="K85" s="11"/>
      <c r="L85" s="11"/>
      <c r="M85" s="14"/>
      <c r="N85" s="15"/>
      <c r="O85" s="12"/>
    </row>
    <row r="86" spans="2:15" s="8" customFormat="1" ht="12">
      <c r="B86" s="17"/>
      <c r="C86" s="17"/>
      <c r="D86" s="17"/>
      <c r="E86" s="18"/>
      <c r="F86" s="21"/>
      <c r="G86" s="16"/>
      <c r="H86" s="16"/>
      <c r="I86" s="16"/>
      <c r="J86" s="21"/>
      <c r="K86" s="18"/>
      <c r="L86" s="19"/>
      <c r="M86" s="14"/>
      <c r="N86" s="15"/>
      <c r="O86" s="12"/>
    </row>
    <row r="87" spans="2:15" s="8" customFormat="1" ht="12">
      <c r="B87" s="17"/>
      <c r="C87" s="17"/>
      <c r="D87" s="17"/>
      <c r="E87" s="18"/>
      <c r="F87" s="19"/>
      <c r="G87" s="16"/>
      <c r="H87" s="16"/>
      <c r="I87" s="16"/>
      <c r="J87" s="21"/>
      <c r="K87" s="18"/>
      <c r="L87" s="19"/>
      <c r="M87" s="14"/>
      <c r="N87" s="15"/>
      <c r="O87" s="12"/>
    </row>
    <row r="88" spans="2:15" s="8" customFormat="1" ht="12">
      <c r="B88" s="17"/>
      <c r="C88" s="17"/>
      <c r="D88" s="17"/>
      <c r="E88" s="18"/>
      <c r="F88" s="23"/>
      <c r="G88" s="18"/>
      <c r="H88" s="18"/>
      <c r="I88" s="16"/>
      <c r="J88" s="21"/>
      <c r="K88" s="18"/>
      <c r="L88" s="23"/>
      <c r="M88" s="14"/>
      <c r="N88" s="15"/>
      <c r="O88" s="12"/>
    </row>
    <row r="89" spans="2:15" s="8" customFormat="1" ht="12">
      <c r="B89" s="17"/>
      <c r="C89" s="17"/>
      <c r="D89" s="17"/>
      <c r="E89" s="18"/>
      <c r="F89" s="23"/>
      <c r="G89" s="18"/>
      <c r="H89" s="18"/>
      <c r="I89" s="16"/>
      <c r="J89" s="21"/>
      <c r="K89" s="18"/>
      <c r="L89" s="23"/>
      <c r="M89" s="14"/>
      <c r="N89" s="15"/>
      <c r="O89" s="12"/>
    </row>
    <row r="90" spans="2:15" s="8" customFormat="1" ht="12">
      <c r="B90" s="17"/>
      <c r="C90" s="17"/>
      <c r="D90" s="17"/>
      <c r="E90" s="18"/>
      <c r="F90" s="23"/>
      <c r="G90" s="18"/>
      <c r="H90" s="18"/>
      <c r="I90" s="16"/>
      <c r="J90" s="21"/>
      <c r="K90" s="18"/>
      <c r="L90" s="23"/>
      <c r="M90" s="14"/>
      <c r="N90" s="15"/>
      <c r="O90" s="12"/>
    </row>
    <row r="91" spans="2:15" s="8" customFormat="1" ht="12">
      <c r="B91" s="17"/>
      <c r="C91" s="17"/>
      <c r="D91" s="17"/>
      <c r="E91" s="18"/>
      <c r="F91" s="23"/>
      <c r="G91" s="18"/>
      <c r="H91" s="18"/>
      <c r="I91" s="16"/>
      <c r="J91" s="21"/>
      <c r="K91" s="18"/>
      <c r="L91" s="23"/>
      <c r="M91" s="14"/>
      <c r="N91" s="15"/>
      <c r="O91" s="12"/>
    </row>
    <row r="92" spans="2:15" s="8" customFormat="1" ht="12">
      <c r="B92" s="17"/>
      <c r="C92" s="17"/>
      <c r="D92" s="17"/>
      <c r="E92" s="18"/>
      <c r="F92" s="23"/>
      <c r="G92" s="18"/>
      <c r="H92" s="18"/>
      <c r="I92" s="16"/>
      <c r="J92" s="21"/>
      <c r="K92" s="18"/>
      <c r="L92" s="23"/>
      <c r="M92" s="14"/>
      <c r="N92" s="15"/>
      <c r="O92" s="12"/>
    </row>
    <row r="93" spans="2:15" s="8" customFormat="1" ht="12">
      <c r="B93" s="17"/>
      <c r="C93" s="17"/>
      <c r="D93" s="17"/>
      <c r="E93" s="18"/>
      <c r="F93" s="23"/>
      <c r="G93" s="18"/>
      <c r="H93" s="18"/>
      <c r="I93" s="16"/>
      <c r="J93" s="21"/>
      <c r="K93" s="18"/>
      <c r="L93" s="23"/>
      <c r="M93" s="14"/>
      <c r="N93" s="15"/>
      <c r="O93" s="12"/>
    </row>
    <row r="94" spans="2:15" s="8" customFormat="1" ht="12">
      <c r="B94" s="17"/>
      <c r="C94" s="17"/>
      <c r="D94" s="17"/>
      <c r="E94" s="18"/>
      <c r="F94" s="23"/>
      <c r="G94" s="18"/>
      <c r="H94" s="18"/>
      <c r="I94" s="16"/>
      <c r="J94" s="21"/>
      <c r="K94" s="18"/>
      <c r="L94" s="23"/>
      <c r="M94" s="14"/>
      <c r="N94" s="15"/>
      <c r="O94" s="12"/>
    </row>
    <row r="95" spans="2:15" s="8" customFormat="1" ht="12">
      <c r="B95" s="17"/>
      <c r="C95" s="17"/>
      <c r="D95" s="17"/>
      <c r="E95" s="18"/>
      <c r="F95" s="23"/>
      <c r="G95" s="18"/>
      <c r="H95" s="18"/>
      <c r="I95" s="16"/>
      <c r="J95" s="21"/>
      <c r="K95" s="18"/>
      <c r="L95" s="23"/>
      <c r="M95" s="14"/>
      <c r="N95" s="15"/>
      <c r="O95" s="12"/>
    </row>
    <row r="96" spans="2:15" s="8" customFormat="1" ht="12">
      <c r="B96" s="17"/>
      <c r="C96" s="17"/>
      <c r="D96" s="17"/>
      <c r="E96" s="18"/>
      <c r="F96" s="23"/>
      <c r="G96" s="18"/>
      <c r="H96" s="18"/>
      <c r="I96" s="16"/>
      <c r="J96" s="21"/>
      <c r="K96" s="18"/>
      <c r="L96" s="23"/>
      <c r="M96" s="14"/>
      <c r="N96" s="15"/>
      <c r="O96" s="12"/>
    </row>
    <row r="97" spans="2:15" s="8" customFormat="1" ht="12">
      <c r="B97" s="17"/>
      <c r="C97" s="17"/>
      <c r="D97" s="17"/>
      <c r="E97" s="18"/>
      <c r="F97" s="23"/>
      <c r="G97" s="18"/>
      <c r="H97" s="18"/>
      <c r="I97" s="16"/>
      <c r="J97" s="21"/>
      <c r="K97" s="18"/>
      <c r="L97" s="23"/>
      <c r="M97" s="14"/>
      <c r="N97" s="15"/>
      <c r="O97" s="12"/>
    </row>
    <row r="98" spans="2:15" s="8" customFormat="1" ht="12">
      <c r="B98" s="17"/>
      <c r="C98" s="17"/>
      <c r="D98" s="17"/>
      <c r="E98" s="18"/>
      <c r="F98" s="23"/>
      <c r="G98" s="18"/>
      <c r="H98" s="18"/>
      <c r="I98" s="16"/>
      <c r="J98" s="21"/>
      <c r="K98" s="18"/>
      <c r="L98" s="23"/>
      <c r="M98" s="14"/>
      <c r="N98" s="15"/>
      <c r="O98" s="12"/>
    </row>
    <row r="99" spans="2:15" s="8" customFormat="1" ht="12">
      <c r="B99" s="17"/>
      <c r="C99" s="17"/>
      <c r="D99" s="17"/>
      <c r="E99" s="18"/>
      <c r="F99" s="23"/>
      <c r="G99" s="18"/>
      <c r="H99" s="18"/>
      <c r="I99" s="16"/>
      <c r="J99" s="21"/>
      <c r="K99" s="18"/>
      <c r="L99" s="23"/>
      <c r="M99" s="14"/>
      <c r="N99" s="15"/>
      <c r="O99" s="12"/>
    </row>
    <row r="100" spans="2:15" s="8" customFormat="1" ht="12">
      <c r="B100" s="17"/>
      <c r="C100" s="17"/>
      <c r="D100" s="17"/>
      <c r="E100" s="18"/>
      <c r="F100" s="23"/>
      <c r="G100" s="18"/>
      <c r="H100" s="18"/>
      <c r="I100" s="16"/>
      <c r="J100" s="21"/>
      <c r="K100" s="18"/>
      <c r="L100" s="23"/>
      <c r="M100" s="14"/>
      <c r="N100" s="15"/>
      <c r="O100" s="12"/>
    </row>
    <row r="101" spans="2:15" s="8" customFormat="1" ht="12">
      <c r="B101" s="10"/>
      <c r="C101" s="10"/>
      <c r="D101" s="10"/>
      <c r="E101" s="11"/>
      <c r="F101" s="12"/>
      <c r="G101" s="12"/>
      <c r="H101" s="12"/>
      <c r="I101" s="13"/>
      <c r="J101" s="12"/>
      <c r="K101" s="12"/>
      <c r="L101" s="12"/>
      <c r="M101" s="14"/>
      <c r="N101" s="15"/>
      <c r="O101" s="12"/>
    </row>
    <row r="102" spans="2:15" s="8" customFormat="1" ht="12">
      <c r="B102" s="10"/>
      <c r="C102" s="10"/>
      <c r="D102" s="10"/>
      <c r="E102" s="11"/>
      <c r="F102" s="12"/>
      <c r="G102" s="12"/>
      <c r="H102" s="12"/>
      <c r="I102" s="13"/>
      <c r="J102" s="12"/>
      <c r="K102" s="12"/>
      <c r="L102" s="12"/>
      <c r="M102" s="14"/>
      <c r="N102" s="15"/>
      <c r="O102" s="12"/>
    </row>
    <row r="103" spans="2:15" s="8" customFormat="1" ht="12">
      <c r="B103" s="10"/>
      <c r="C103" s="10"/>
      <c r="D103" s="10"/>
      <c r="E103" s="11"/>
      <c r="F103" s="12"/>
      <c r="G103" s="12"/>
      <c r="H103" s="12"/>
      <c r="I103" s="13"/>
      <c r="J103" s="12"/>
      <c r="K103" s="12"/>
      <c r="L103" s="12"/>
      <c r="M103" s="14"/>
      <c r="N103" s="15"/>
      <c r="O103" s="12"/>
    </row>
    <row r="104" spans="2:15" s="8" customFormat="1" ht="12">
      <c r="B104" s="10"/>
      <c r="C104" s="10"/>
      <c r="D104" s="10"/>
      <c r="E104" s="11"/>
      <c r="F104" s="12"/>
      <c r="G104" s="12"/>
      <c r="H104" s="12"/>
      <c r="I104" s="13"/>
      <c r="J104" s="12"/>
      <c r="K104" s="12"/>
      <c r="L104" s="12"/>
      <c r="M104" s="14"/>
      <c r="N104" s="15"/>
      <c r="O104" s="12"/>
    </row>
    <row r="105" spans="2:15" s="8" customFormat="1" ht="12">
      <c r="B105" s="10"/>
      <c r="C105" s="10"/>
      <c r="D105" s="10"/>
      <c r="E105" s="11"/>
      <c r="F105" s="12"/>
      <c r="G105" s="12"/>
      <c r="H105" s="12"/>
      <c r="I105" s="13"/>
      <c r="J105" s="12"/>
      <c r="K105" s="12"/>
      <c r="L105" s="12"/>
      <c r="M105" s="14"/>
      <c r="N105" s="15"/>
      <c r="O105" s="12"/>
    </row>
    <row r="106" spans="2:15" s="8" customFormat="1" ht="12">
      <c r="B106" s="10"/>
      <c r="C106" s="10"/>
      <c r="D106" s="10"/>
      <c r="E106" s="11"/>
      <c r="F106" s="12"/>
      <c r="G106" s="12"/>
      <c r="H106" s="12"/>
      <c r="I106" s="13"/>
      <c r="J106" s="12"/>
      <c r="K106" s="12"/>
      <c r="L106" s="12"/>
      <c r="M106" s="14"/>
      <c r="N106" s="15"/>
      <c r="O106" s="12"/>
    </row>
    <row r="107" spans="2:15" s="8" customFormat="1" ht="12">
      <c r="B107" s="10"/>
      <c r="C107" s="10"/>
      <c r="D107" s="10"/>
      <c r="E107" s="11"/>
      <c r="F107" s="12"/>
      <c r="G107" s="12"/>
      <c r="H107" s="12"/>
      <c r="I107" s="13"/>
      <c r="J107" s="12"/>
      <c r="K107" s="12"/>
      <c r="L107" s="12"/>
      <c r="M107" s="14"/>
      <c r="N107" s="15"/>
      <c r="O107" s="12"/>
    </row>
    <row r="108" spans="2:15" s="8" customFormat="1" ht="12">
      <c r="B108" s="10"/>
      <c r="C108" s="10"/>
      <c r="D108" s="10"/>
      <c r="E108" s="11"/>
      <c r="F108" s="12"/>
      <c r="G108" s="12"/>
      <c r="H108" s="12"/>
      <c r="I108" s="13"/>
      <c r="J108" s="12"/>
      <c r="K108" s="12"/>
      <c r="L108" s="12"/>
      <c r="M108" s="14"/>
      <c r="N108" s="15"/>
      <c r="O108" s="12"/>
    </row>
    <row r="109" spans="2:15" s="8" customFormat="1" ht="12">
      <c r="B109" s="10"/>
      <c r="C109" s="10"/>
      <c r="D109" s="10"/>
      <c r="E109" s="11"/>
      <c r="F109" s="12"/>
      <c r="G109" s="12"/>
      <c r="H109" s="12"/>
      <c r="I109" s="13"/>
      <c r="J109" s="12"/>
      <c r="K109" s="12"/>
      <c r="L109" s="12"/>
      <c r="M109" s="14"/>
      <c r="N109" s="15"/>
      <c r="O109" s="12"/>
    </row>
  </sheetData>
  <mergeCells count="27">
    <mergeCell ref="B13:F13"/>
    <mergeCell ref="K14:K15"/>
    <mergeCell ref="L14:L15"/>
    <mergeCell ref="M14:M15"/>
    <mergeCell ref="N14:N15"/>
    <mergeCell ref="C15:D15"/>
    <mergeCell ref="E15:F15"/>
    <mergeCell ref="G15:H15"/>
    <mergeCell ref="I15:J15"/>
    <mergeCell ref="C14:D14"/>
    <mergeCell ref="E14:F14"/>
    <mergeCell ref="G14:H14"/>
    <mergeCell ref="I14:J14"/>
    <mergeCell ref="B2:O2"/>
    <mergeCell ref="B3:F3"/>
    <mergeCell ref="C4:D4"/>
    <mergeCell ref="E4:F4"/>
    <mergeCell ref="G4:H4"/>
    <mergeCell ref="I4:J4"/>
    <mergeCell ref="K4:K5"/>
    <mergeCell ref="L4:L5"/>
    <mergeCell ref="M4:M5"/>
    <mergeCell ref="N4:N5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R15"/>
  <sheetViews>
    <sheetView workbookViewId="0">
      <selection activeCell="R6" sqref="R6"/>
    </sheetView>
  </sheetViews>
  <sheetFormatPr defaultRowHeight="15"/>
  <cols>
    <col min="1" max="2" width="2.7109375" style="36" customWidth="1"/>
    <col min="3" max="3" width="5.5703125" style="36" customWidth="1"/>
    <col min="4" max="4" width="3.5703125" style="36" customWidth="1"/>
    <col min="5" max="5" width="6.5703125" style="36" customWidth="1"/>
    <col min="6" max="6" width="3.5703125" style="36" customWidth="1"/>
    <col min="7" max="7" width="1.5703125" style="36" customWidth="1"/>
    <col min="8" max="8" width="2.7109375" style="36" customWidth="1"/>
    <col min="9" max="9" width="5.5703125" style="36" customWidth="1"/>
    <col min="10" max="10" width="3.42578125" style="36" customWidth="1"/>
    <col min="11" max="11" width="5.5703125" style="36" customWidth="1"/>
    <col min="12" max="12" width="3.5703125" style="36" customWidth="1"/>
    <col min="13" max="13" width="1.5703125" style="36" customWidth="1"/>
    <col min="14" max="14" width="2.7109375" style="36" customWidth="1"/>
    <col min="15" max="15" width="5.5703125" style="36" customWidth="1"/>
    <col min="16" max="16" width="3.42578125" style="36" customWidth="1"/>
    <col min="17" max="17" width="5.5703125" style="36" customWidth="1"/>
    <col min="18" max="18" width="3.5703125" style="36" customWidth="1"/>
  </cols>
  <sheetData>
    <row r="2" spans="2:18" ht="23.25">
      <c r="B2" s="482" t="s">
        <v>13</v>
      </c>
      <c r="C2" s="483"/>
      <c r="D2" s="483"/>
      <c r="E2" s="483"/>
      <c r="F2" s="484"/>
      <c r="G2" s="37"/>
      <c r="H2" s="474" t="s">
        <v>14</v>
      </c>
      <c r="I2" s="474"/>
      <c r="J2" s="474"/>
      <c r="K2" s="474"/>
      <c r="L2" s="475"/>
      <c r="M2" s="38"/>
      <c r="N2" s="474" t="s">
        <v>14</v>
      </c>
      <c r="O2" s="474"/>
      <c r="P2" s="474"/>
      <c r="Q2" s="474"/>
      <c r="R2" s="475"/>
    </row>
    <row r="3" spans="2:18" ht="26.25">
      <c r="B3" s="476" t="s">
        <v>15</v>
      </c>
      <c r="C3" s="477"/>
      <c r="D3" s="477"/>
      <c r="E3" s="477"/>
      <c r="F3" s="478"/>
      <c r="G3" s="39"/>
      <c r="H3" s="476" t="s">
        <v>16</v>
      </c>
      <c r="I3" s="477"/>
      <c r="J3" s="477"/>
      <c r="K3" s="477"/>
      <c r="L3" s="478"/>
      <c r="N3" s="476" t="s">
        <v>17</v>
      </c>
      <c r="O3" s="477"/>
      <c r="P3" s="477"/>
      <c r="Q3" s="477"/>
      <c r="R3" s="478"/>
    </row>
    <row r="4" spans="2:18" ht="26.25">
      <c r="B4" s="479" t="s">
        <v>4</v>
      </c>
      <c r="C4" s="480"/>
      <c r="D4" s="480"/>
      <c r="E4" s="480"/>
      <c r="F4" s="481"/>
      <c r="H4" s="479" t="s">
        <v>4</v>
      </c>
      <c r="I4" s="480"/>
      <c r="J4" s="480"/>
      <c r="K4" s="480"/>
      <c r="L4" s="481"/>
      <c r="N4" s="479" t="s">
        <v>4</v>
      </c>
      <c r="O4" s="480"/>
      <c r="P4" s="480"/>
      <c r="Q4" s="480"/>
      <c r="R4" s="481"/>
    </row>
    <row r="5" spans="2:18" ht="26.25">
      <c r="B5" s="465">
        <v>42606</v>
      </c>
      <c r="C5" s="466"/>
      <c r="D5" s="466"/>
      <c r="E5" s="466"/>
      <c r="F5" s="467"/>
      <c r="H5" s="465">
        <v>42607</v>
      </c>
      <c r="I5" s="466"/>
      <c r="J5" s="466"/>
      <c r="K5" s="466"/>
      <c r="L5" s="467"/>
      <c r="N5" s="465">
        <v>42607</v>
      </c>
      <c r="O5" s="466"/>
      <c r="P5" s="466"/>
      <c r="Q5" s="466"/>
      <c r="R5" s="467"/>
    </row>
    <row r="6" spans="2:18" ht="23.25">
      <c r="B6" s="468" t="s">
        <v>18</v>
      </c>
      <c r="C6" s="40">
        <v>0.2</v>
      </c>
      <c r="D6" s="41" t="s">
        <v>19</v>
      </c>
      <c r="E6" s="42">
        <f>(0.08%)*1</f>
        <v>8.0000000000000004E-4</v>
      </c>
      <c r="F6" s="43" t="s">
        <v>19</v>
      </c>
      <c r="H6" s="468" t="s">
        <v>18</v>
      </c>
      <c r="I6" s="44">
        <v>20</v>
      </c>
      <c r="J6" s="41" t="s">
        <v>19</v>
      </c>
      <c r="K6" s="45">
        <f>(0.08%)*I6</f>
        <v>1.6E-2</v>
      </c>
      <c r="L6" s="43" t="s">
        <v>19</v>
      </c>
      <c r="N6" s="468" t="s">
        <v>18</v>
      </c>
      <c r="O6" s="44">
        <v>200</v>
      </c>
      <c r="P6" s="41" t="s">
        <v>19</v>
      </c>
      <c r="Q6" s="45">
        <f>(1.56%)*O6</f>
        <v>3.12</v>
      </c>
      <c r="R6" s="43" t="s">
        <v>19</v>
      </c>
    </row>
    <row r="7" spans="2:18" ht="23.25">
      <c r="B7" s="469"/>
      <c r="C7" s="46">
        <v>0.4</v>
      </c>
      <c r="D7" s="41" t="s">
        <v>19</v>
      </c>
      <c r="E7" s="42">
        <f t="shared" ref="E7:E15" si="0">(0.08%)*1</f>
        <v>8.0000000000000004E-4</v>
      </c>
      <c r="F7" s="43" t="s">
        <v>19</v>
      </c>
      <c r="H7" s="469"/>
      <c r="I7" s="44">
        <v>40</v>
      </c>
      <c r="J7" s="41" t="s">
        <v>19</v>
      </c>
      <c r="K7" s="45">
        <f t="shared" ref="K7:K14" si="1">(0.08%)*I7</f>
        <v>3.2000000000000001E-2</v>
      </c>
      <c r="L7" s="43" t="s">
        <v>19</v>
      </c>
      <c r="N7" s="469"/>
      <c r="O7" s="44">
        <v>400</v>
      </c>
      <c r="P7" s="41" t="s">
        <v>19</v>
      </c>
      <c r="Q7" s="45">
        <f>(0.88%)*O7</f>
        <v>3.52</v>
      </c>
      <c r="R7" s="43" t="s">
        <v>19</v>
      </c>
    </row>
    <row r="8" spans="2:18" ht="23.25">
      <c r="B8" s="469"/>
      <c r="C8" s="46">
        <v>0.6</v>
      </c>
      <c r="D8" s="41" t="s">
        <v>19</v>
      </c>
      <c r="E8" s="42">
        <f t="shared" si="0"/>
        <v>8.0000000000000004E-4</v>
      </c>
      <c r="F8" s="43" t="s">
        <v>19</v>
      </c>
      <c r="H8" s="469"/>
      <c r="I8" s="44">
        <v>60</v>
      </c>
      <c r="J8" s="41" t="s">
        <v>19</v>
      </c>
      <c r="K8" s="45">
        <f t="shared" si="1"/>
        <v>4.8000000000000001E-2</v>
      </c>
      <c r="L8" s="43" t="s">
        <v>19</v>
      </c>
      <c r="N8" s="469"/>
      <c r="O8" s="44">
        <v>600</v>
      </c>
      <c r="P8" s="41" t="s">
        <v>19</v>
      </c>
      <c r="Q8" s="45">
        <f>(0.65%)*O8</f>
        <v>3.9000000000000004</v>
      </c>
      <c r="R8" s="43" t="s">
        <v>19</v>
      </c>
    </row>
    <row r="9" spans="2:18" ht="23.25">
      <c r="B9" s="469"/>
      <c r="C9" s="46">
        <v>0.8</v>
      </c>
      <c r="D9" s="41" t="s">
        <v>19</v>
      </c>
      <c r="E9" s="42">
        <f t="shared" si="0"/>
        <v>8.0000000000000004E-4</v>
      </c>
      <c r="F9" s="43" t="s">
        <v>19</v>
      </c>
      <c r="H9" s="469"/>
      <c r="I9" s="44">
        <v>80</v>
      </c>
      <c r="J9" s="41" t="s">
        <v>19</v>
      </c>
      <c r="K9" s="45">
        <f t="shared" si="1"/>
        <v>6.4000000000000001E-2</v>
      </c>
      <c r="L9" s="43" t="s">
        <v>19</v>
      </c>
      <c r="N9" s="469"/>
      <c r="O9" s="44">
        <v>800</v>
      </c>
      <c r="P9" s="41" t="s">
        <v>19</v>
      </c>
      <c r="Q9" s="45">
        <f>(0.55%)*O9</f>
        <v>4.4000000000000004</v>
      </c>
      <c r="R9" s="43" t="s">
        <v>19</v>
      </c>
    </row>
    <row r="10" spans="2:18" ht="23.25">
      <c r="B10" s="470"/>
      <c r="C10" s="46">
        <v>1</v>
      </c>
      <c r="D10" s="41" t="s">
        <v>19</v>
      </c>
      <c r="E10" s="42">
        <f t="shared" si="0"/>
        <v>8.0000000000000004E-4</v>
      </c>
      <c r="F10" s="43" t="s">
        <v>19</v>
      </c>
      <c r="H10" s="470"/>
      <c r="I10" s="44">
        <v>100</v>
      </c>
      <c r="J10" s="41" t="s">
        <v>19</v>
      </c>
      <c r="K10" s="45">
        <f t="shared" si="1"/>
        <v>0.08</v>
      </c>
      <c r="L10" s="43" t="s">
        <v>19</v>
      </c>
      <c r="N10" s="470"/>
      <c r="O10" s="44">
        <v>1000</v>
      </c>
      <c r="P10" s="41" t="s">
        <v>19</v>
      </c>
      <c r="Q10" s="45">
        <f>(0.5%)*O10</f>
        <v>5</v>
      </c>
      <c r="R10" s="43" t="s">
        <v>19</v>
      </c>
    </row>
    <row r="11" spans="2:18" ht="23.25" customHeight="1">
      <c r="B11" s="471" t="s">
        <v>20</v>
      </c>
      <c r="C11" s="46">
        <v>-0.2</v>
      </c>
      <c r="D11" s="41" t="s">
        <v>19</v>
      </c>
      <c r="E11" s="42">
        <f t="shared" si="0"/>
        <v>8.0000000000000004E-4</v>
      </c>
      <c r="F11" s="43" t="s">
        <v>19</v>
      </c>
      <c r="H11" s="471" t="s">
        <v>20</v>
      </c>
      <c r="I11" s="44">
        <v>20</v>
      </c>
      <c r="J11" s="41" t="s">
        <v>19</v>
      </c>
      <c r="K11" s="45">
        <f t="shared" si="1"/>
        <v>1.6E-2</v>
      </c>
      <c r="L11" s="43" t="s">
        <v>19</v>
      </c>
      <c r="N11" s="471" t="s">
        <v>20</v>
      </c>
      <c r="O11" s="44">
        <v>200</v>
      </c>
      <c r="P11" s="41" t="s">
        <v>19</v>
      </c>
      <c r="Q11" s="45">
        <f>(1.27%)*O11</f>
        <v>2.54</v>
      </c>
      <c r="R11" s="43" t="s">
        <v>19</v>
      </c>
    </row>
    <row r="12" spans="2:18" ht="23.25">
      <c r="B12" s="472"/>
      <c r="C12" s="46">
        <v>-0.4</v>
      </c>
      <c r="D12" s="41" t="s">
        <v>19</v>
      </c>
      <c r="E12" s="42">
        <f t="shared" si="0"/>
        <v>8.0000000000000004E-4</v>
      </c>
      <c r="F12" s="43" t="s">
        <v>19</v>
      </c>
      <c r="H12" s="472"/>
      <c r="I12" s="44">
        <v>40</v>
      </c>
      <c r="J12" s="41" t="s">
        <v>19</v>
      </c>
      <c r="K12" s="45">
        <f t="shared" si="1"/>
        <v>3.2000000000000001E-2</v>
      </c>
      <c r="L12" s="43" t="s">
        <v>19</v>
      </c>
      <c r="N12" s="472"/>
      <c r="O12" s="44">
        <v>400</v>
      </c>
      <c r="P12" s="41" t="s">
        <v>19</v>
      </c>
      <c r="Q12" s="45">
        <f>(0.94%)*O12</f>
        <v>3.7599999999999993</v>
      </c>
      <c r="R12" s="43" t="s">
        <v>19</v>
      </c>
    </row>
    <row r="13" spans="2:18" ht="23.25">
      <c r="B13" s="472"/>
      <c r="C13" s="46">
        <v>-0.6</v>
      </c>
      <c r="D13" s="41" t="s">
        <v>19</v>
      </c>
      <c r="E13" s="42">
        <f t="shared" si="0"/>
        <v>8.0000000000000004E-4</v>
      </c>
      <c r="F13" s="43" t="s">
        <v>19</v>
      </c>
      <c r="H13" s="472"/>
      <c r="I13" s="44">
        <v>60</v>
      </c>
      <c r="J13" s="41" t="s">
        <v>19</v>
      </c>
      <c r="K13" s="45">
        <f t="shared" si="1"/>
        <v>4.8000000000000001E-2</v>
      </c>
      <c r="L13" s="43" t="s">
        <v>19</v>
      </c>
      <c r="N13" s="472"/>
      <c r="O13" s="44">
        <v>600</v>
      </c>
      <c r="P13" s="41" t="s">
        <v>19</v>
      </c>
      <c r="Q13" s="45">
        <f>(0.8%)*O13</f>
        <v>4.8</v>
      </c>
      <c r="R13" s="43" t="s">
        <v>19</v>
      </c>
    </row>
    <row r="14" spans="2:18" ht="23.25">
      <c r="B14" s="472"/>
      <c r="C14" s="46">
        <v>-0.8</v>
      </c>
      <c r="D14" s="41" t="s">
        <v>19</v>
      </c>
      <c r="E14" s="42">
        <f t="shared" si="0"/>
        <v>8.0000000000000004E-4</v>
      </c>
      <c r="F14" s="43" t="s">
        <v>19</v>
      </c>
      <c r="H14" s="472"/>
      <c r="I14" s="44">
        <v>80</v>
      </c>
      <c r="J14" s="41" t="s">
        <v>19</v>
      </c>
      <c r="K14" s="45">
        <f t="shared" si="1"/>
        <v>6.4000000000000001E-2</v>
      </c>
      <c r="L14" s="43" t="s">
        <v>19</v>
      </c>
      <c r="N14" s="472"/>
      <c r="O14" s="44">
        <v>800</v>
      </c>
      <c r="P14" s="41" t="s">
        <v>19</v>
      </c>
      <c r="Q14" s="45">
        <f>(0.73%)*O14</f>
        <v>5.84</v>
      </c>
      <c r="R14" s="43" t="s">
        <v>19</v>
      </c>
    </row>
    <row r="15" spans="2:18" ht="23.25">
      <c r="B15" s="473"/>
      <c r="C15" s="46">
        <v>-1</v>
      </c>
      <c r="D15" s="41" t="s">
        <v>19</v>
      </c>
      <c r="E15" s="42">
        <f t="shared" si="0"/>
        <v>8.0000000000000004E-4</v>
      </c>
      <c r="F15" s="43" t="s">
        <v>19</v>
      </c>
      <c r="H15" s="473"/>
      <c r="I15" s="44">
        <v>100</v>
      </c>
      <c r="J15" s="41" t="s">
        <v>19</v>
      </c>
      <c r="K15" s="45">
        <f>(0.08%)*I15</f>
        <v>0.08</v>
      </c>
      <c r="L15" s="43" t="s">
        <v>19</v>
      </c>
      <c r="N15" s="473"/>
      <c r="O15" s="44">
        <v>1000</v>
      </c>
      <c r="P15" s="41" t="s">
        <v>19</v>
      </c>
      <c r="Q15" s="45">
        <f>(0.69%)*O15</f>
        <v>6.8999999999999995</v>
      </c>
      <c r="R15" s="43" t="s">
        <v>19</v>
      </c>
    </row>
  </sheetData>
  <mergeCells count="18">
    <mergeCell ref="N2:R2"/>
    <mergeCell ref="B3:F3"/>
    <mergeCell ref="H3:L3"/>
    <mergeCell ref="N3:R3"/>
    <mergeCell ref="B4:F4"/>
    <mergeCell ref="H4:L4"/>
    <mergeCell ref="N4:R4"/>
    <mergeCell ref="B2:F2"/>
    <mergeCell ref="H2:L2"/>
    <mergeCell ref="N5:R5"/>
    <mergeCell ref="B6:B10"/>
    <mergeCell ref="H6:H10"/>
    <mergeCell ref="N6:N10"/>
    <mergeCell ref="B11:B15"/>
    <mergeCell ref="H11:H15"/>
    <mergeCell ref="N11:N15"/>
    <mergeCell ref="B5:F5"/>
    <mergeCell ref="H5:L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</vt:lpstr>
      <vt:lpstr>Certificate</vt:lpstr>
      <vt:lpstr>Report</vt:lpstr>
      <vt:lpstr>Result</vt:lpstr>
      <vt:lpstr>Uncertainty Budget</vt:lpstr>
      <vt:lpstr>Cert of STD</vt:lpstr>
      <vt:lpstr>Certificate!Print_Area</vt:lpstr>
      <vt:lpstr>'Data 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SP07-NEOLUTION</dc:creator>
  <cp:lastModifiedBy>ภควดี ลักษมีวงศ์</cp:lastModifiedBy>
  <cp:lastPrinted>2017-03-18T08:04:25Z</cp:lastPrinted>
  <dcterms:created xsi:type="dcterms:W3CDTF">2013-05-08T08:11:00Z</dcterms:created>
  <dcterms:modified xsi:type="dcterms:W3CDTF">2017-10-13T19:45:22Z</dcterms:modified>
</cp:coreProperties>
</file>