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ng/OneDrive/Study/2021_S2/FINC3017/FINC3017_Assignment2/FINC3017_report_2/data/"/>
    </mc:Choice>
  </mc:AlternateContent>
  <xr:revisionPtr revIDLastSave="0" documentId="13_ncr:1_{8B1A586D-DA5E-DF40-ACE2-58397FA4A853}" xr6:coauthVersionLast="47" xr6:coauthVersionMax="47" xr10:uidLastSave="{00000000-0000-0000-0000-000000000000}"/>
  <bookViews>
    <workbookView xWindow="1340" yWindow="2040" windowWidth="36920" windowHeight="18000" activeTab="1" xr2:uid="{26C34CCE-B1B5-5848-83B9-E9C9C1CDF3EC}"/>
  </bookViews>
  <sheets>
    <sheet name="Forecasts" sheetId="1" r:id="rId1"/>
    <sheet name="Workings" sheetId="3" r:id="rId2"/>
    <sheet name="Charts" sheetId="4" r:id="rId3"/>
    <sheet name="R" sheetId="5" r:id="rId4"/>
    <sheet name="Securities" sheetId="6" r:id="rId5"/>
    <sheet name="VaR" sheetId="7" r:id="rId6"/>
    <sheet name="Fee to access" sheetId="9" r:id="rId7"/>
    <sheet name="Sheet4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3" l="1"/>
  <c r="C5" i="7"/>
  <c r="D5" i="7"/>
  <c r="B5" i="7"/>
  <c r="B2" i="7"/>
  <c r="L29" i="3"/>
  <c r="I50" i="3"/>
  <c r="G50" i="3"/>
  <c r="B30" i="4"/>
  <c r="B32" i="4"/>
  <c r="B31" i="4"/>
  <c r="B29" i="4"/>
  <c r="B28" i="4"/>
  <c r="B27" i="4"/>
  <c r="L50" i="3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J28" i="3"/>
  <c r="I28" i="3"/>
  <c r="K28" i="3" s="1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30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B29" i="3" l="1"/>
  <c r="C36" i="3" s="1"/>
  <c r="C34" i="3" l="1"/>
  <c r="C42" i="3"/>
  <c r="C44" i="3"/>
  <c r="C39" i="3"/>
  <c r="C32" i="3"/>
  <c r="C49" i="3"/>
  <c r="C31" i="3"/>
  <c r="C48" i="3"/>
  <c r="C41" i="3"/>
  <c r="C47" i="3"/>
  <c r="C40" i="3"/>
  <c r="C33" i="3"/>
  <c r="C35" i="3"/>
  <c r="C30" i="3"/>
  <c r="C45" i="3"/>
  <c r="C38" i="3"/>
  <c r="C37" i="3"/>
  <c r="C43" i="3"/>
  <c r="C46" i="3"/>
  <c r="G29" i="3" l="1" a="1"/>
  <c r="G29" i="3" s="1"/>
  <c r="E29" i="3" a="1"/>
  <c r="E29" i="3" s="1"/>
  <c r="C29" i="3"/>
  <c r="D29" i="3" a="1"/>
  <c r="D29" i="3" s="1"/>
  <c r="I29" i="3" a="1"/>
  <c r="I29" i="3" s="1"/>
  <c r="J29" i="3" l="1"/>
  <c r="K29" i="3" s="1"/>
  <c r="F29" i="3"/>
  <c r="H29" i="3" s="1"/>
  <c r="H28" i="3" l="1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4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4" i="3"/>
  <c r="J50" i="3" l="1"/>
  <c r="K50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<sst xmlns="http://schemas.openxmlformats.org/spreadsheetml/2006/main" count="336" uniqueCount="114">
  <si>
    <t>Sector</t>
  </si>
  <si>
    <t>Ticker</t>
  </si>
  <si>
    <t>Risk premium</t>
  </si>
  <si>
    <t>Alpha</t>
  </si>
  <si>
    <t>Beta</t>
  </si>
  <si>
    <t>SP500</t>
  </si>
  <si>
    <t>Industrials</t>
  </si>
  <si>
    <t>Apple Inc</t>
  </si>
  <si>
    <t>Information Technology</t>
  </si>
  <si>
    <t>AAPL</t>
  </si>
  <si>
    <t>BA</t>
  </si>
  <si>
    <t>Consumer Staples</t>
  </si>
  <si>
    <t>Communication Services</t>
  </si>
  <si>
    <t>Consumer Discretionary</t>
  </si>
  <si>
    <t>Health Care</t>
  </si>
  <si>
    <t>McDonald's Corp</t>
  </si>
  <si>
    <t>MCD</t>
  </si>
  <si>
    <t>NVDA</t>
  </si>
  <si>
    <t>WMT</t>
  </si>
  <si>
    <t>Standard deviation of excess returns</t>
  </si>
  <si>
    <t>Total variance</t>
  </si>
  <si>
    <t>Systematic variance</t>
  </si>
  <si>
    <t>Residual variance</t>
  </si>
  <si>
    <t>Market portfolio</t>
  </si>
  <si>
    <t>Security name</t>
  </si>
  <si>
    <t>Panel A: Market portfolio</t>
  </si>
  <si>
    <t>Panel B: Stocks for active portfolio</t>
  </si>
  <si>
    <t>S&amp;P 500 TR Index</t>
  </si>
  <si>
    <t>Risk parameters (monthly)</t>
  </si>
  <si>
    <t>Alpha and market risk premium forecasts (monthly)</t>
  </si>
  <si>
    <t>AMZN</t>
  </si>
  <si>
    <t>CAKE</t>
  </si>
  <si>
    <t>EBAY</t>
  </si>
  <si>
    <t>FB</t>
  </si>
  <si>
    <t>GME</t>
  </si>
  <si>
    <t>GS</t>
  </si>
  <si>
    <t>ILMN</t>
  </si>
  <si>
    <t>MGM</t>
  </si>
  <si>
    <t>PFE</t>
  </si>
  <si>
    <t>RL</t>
  </si>
  <si>
    <t>RCL</t>
  </si>
  <si>
    <t>SAVE</t>
  </si>
  <si>
    <t>TSLA</t>
  </si>
  <si>
    <t>YELP</t>
  </si>
  <si>
    <t>YUM</t>
  </si>
  <si>
    <t>Financials</t>
  </si>
  <si>
    <t>Amazon</t>
  </si>
  <si>
    <t>Boeing Co</t>
  </si>
  <si>
    <t>Cheescake Factory</t>
  </si>
  <si>
    <t>eBay Inc</t>
  </si>
  <si>
    <t>Facebook</t>
  </si>
  <si>
    <t>Gamestop</t>
  </si>
  <si>
    <t>Goldman Sachs Group Inc</t>
  </si>
  <si>
    <t>Illumina</t>
  </si>
  <si>
    <t>MGM Resorts International</t>
  </si>
  <si>
    <t>Nvidia Corp</t>
  </si>
  <si>
    <t>Pfizer Inc</t>
  </si>
  <si>
    <t>Ralph Lauren Corp</t>
  </si>
  <si>
    <t>Royal Caribbean Group</t>
  </si>
  <si>
    <t>Spirit Airlines</t>
  </si>
  <si>
    <t>Tesla</t>
  </si>
  <si>
    <t xml:space="preserve">Walmart </t>
  </si>
  <si>
    <t xml:space="preserve">Yelp </t>
  </si>
  <si>
    <t>Yum Brands Inc</t>
  </si>
  <si>
    <t>SD of Systematic variance</t>
  </si>
  <si>
    <t>SD of Residual variance</t>
  </si>
  <si>
    <t>Panel B: Stocks for Active Portfolio</t>
  </si>
  <si>
    <t>Panel A: Market Portfolio</t>
  </si>
  <si>
    <t>Panel C: Computation of the Optimal Risky Portfolio</t>
  </si>
  <si>
    <t>SD of excess returns</t>
  </si>
  <si>
    <t>Market Index</t>
  </si>
  <si>
    <t>Active Pf A</t>
  </si>
  <si>
    <t>Risk Premium</t>
  </si>
  <si>
    <t>SD</t>
  </si>
  <si>
    <t>Sharpe Ratio</t>
  </si>
  <si>
    <t>Overall PF</t>
  </si>
  <si>
    <r>
      <rPr>
        <b/>
        <sz val="11"/>
        <rFont val="Calibri"/>
        <family val="2"/>
        <scheme val="minor"/>
      </rPr>
      <t>w</t>
    </r>
    <r>
      <rPr>
        <b/>
        <vertAlign val="subscript"/>
        <sz val="11"/>
        <rFont val="Calibri"/>
        <family val="2"/>
        <scheme val="minor"/>
      </rPr>
      <t>i</t>
    </r>
    <r>
      <rPr>
        <b/>
        <sz val="11"/>
        <rFont val="Symbol"/>
        <family val="1"/>
        <charset val="2"/>
      </rPr>
      <t>(</t>
    </r>
    <r>
      <rPr>
        <b/>
        <sz val="11"/>
        <rFont val="Calibri"/>
        <family val="2"/>
        <scheme val="minor"/>
      </rPr>
      <t>0</t>
    </r>
    <r>
      <rPr>
        <b/>
        <sz val="11"/>
        <rFont val="Symbol"/>
        <family val="1"/>
        <charset val="2"/>
      </rPr>
      <t>) = a</t>
    </r>
    <r>
      <rPr>
        <b/>
        <vertAlign val="subscript"/>
        <sz val="11"/>
        <rFont val="Calibri"/>
        <family val="2"/>
        <scheme val="minor"/>
      </rPr>
      <t>i</t>
    </r>
    <r>
      <rPr>
        <b/>
        <sz val="11"/>
        <rFont val="Symbol"/>
        <family val="1"/>
        <charset val="2"/>
      </rPr>
      <t>/s</t>
    </r>
    <r>
      <rPr>
        <b/>
        <vertAlign val="superscript"/>
        <sz val="11"/>
        <rFont val="Symbol"/>
        <family val="1"/>
        <charset val="2"/>
      </rPr>
      <t>2</t>
    </r>
    <r>
      <rPr>
        <b/>
        <sz val="11"/>
        <rFont val="Symbol"/>
        <family val="1"/>
        <charset val="2"/>
      </rPr>
      <t>(</t>
    </r>
    <r>
      <rPr>
        <b/>
        <sz val="11"/>
        <rFont val="Calibri"/>
        <family val="2"/>
        <scheme val="minor"/>
      </rPr>
      <t>e</t>
    </r>
    <r>
      <rPr>
        <b/>
        <sz val="11"/>
        <rFont val="Symbol"/>
        <family val="1"/>
        <charset val="2"/>
      </rPr>
      <t>)</t>
    </r>
  </si>
  <si>
    <r>
      <t>w</t>
    </r>
    <r>
      <rPr>
        <b/>
        <vertAlign val="subscript"/>
        <sz val="11"/>
        <rFont val="Calibri"/>
        <family val="2"/>
        <scheme val="minor"/>
      </rPr>
      <t>i</t>
    </r>
  </si>
  <si>
    <r>
      <t>a</t>
    </r>
    <r>
      <rPr>
        <b/>
        <vertAlign val="subscript"/>
        <sz val="11"/>
        <rFont val="Calibri"/>
        <family val="2"/>
        <scheme val="minor"/>
      </rPr>
      <t>A</t>
    </r>
  </si>
  <si>
    <r>
      <t>s</t>
    </r>
    <r>
      <rPr>
        <b/>
        <vertAlign val="superscript"/>
        <sz val="11"/>
        <rFont val="Symbol"/>
        <family val="1"/>
        <charset val="2"/>
      </rPr>
      <t>2</t>
    </r>
    <r>
      <rPr>
        <b/>
        <sz val="11"/>
        <rFont val="Verdana"/>
        <family val="2"/>
      </rPr>
      <t>(</t>
    </r>
    <r>
      <rPr>
        <b/>
        <sz val="11"/>
        <rFont val="Calibri"/>
        <family val="2"/>
        <scheme val="minor"/>
      </rPr>
      <t>e</t>
    </r>
    <r>
      <rPr>
        <b/>
        <vertAlign val="subscript"/>
        <sz val="11"/>
        <rFont val="Verdana"/>
        <family val="2"/>
      </rPr>
      <t>A</t>
    </r>
    <r>
      <rPr>
        <b/>
        <sz val="11"/>
        <rFont val="Verdana"/>
        <family val="2"/>
      </rPr>
      <t>)</t>
    </r>
  </si>
  <si>
    <r>
      <rPr>
        <b/>
        <sz val="11"/>
        <rFont val="Calibri"/>
        <family val="2"/>
        <scheme val="minor"/>
      </rPr>
      <t>w</t>
    </r>
    <r>
      <rPr>
        <b/>
        <vertAlign val="subscript"/>
        <sz val="11"/>
        <rFont val="Arial"/>
        <family val="2"/>
      </rPr>
      <t>A</t>
    </r>
    <r>
      <rPr>
        <b/>
        <sz val="11"/>
        <rFont val="Arial"/>
        <family val="2"/>
      </rPr>
      <t>(</t>
    </r>
    <r>
      <rPr>
        <b/>
        <sz val="11"/>
        <rFont val="Calibri"/>
        <family val="2"/>
        <scheme val="minor"/>
      </rPr>
      <t>0</t>
    </r>
    <r>
      <rPr>
        <b/>
        <sz val="11"/>
        <rFont val="Arial"/>
        <family val="2"/>
      </rPr>
      <t>)</t>
    </r>
  </si>
  <si>
    <r>
      <rPr>
        <b/>
        <sz val="11"/>
        <rFont val="Calibri"/>
        <family val="2"/>
        <scheme val="minor"/>
      </rPr>
      <t>w</t>
    </r>
    <r>
      <rPr>
        <b/>
        <sz val="11"/>
        <rFont val="Arial"/>
        <family val="2"/>
      </rPr>
      <t>*</t>
    </r>
  </si>
  <si>
    <t>Active PF</t>
  </si>
  <si>
    <t>Market PF</t>
  </si>
  <si>
    <t>Securities</t>
  </si>
  <si>
    <t>Optimal Weight</t>
  </si>
  <si>
    <t>Information Ratio</t>
  </si>
  <si>
    <t xml:space="preserve">Items </t>
  </si>
  <si>
    <t>Value</t>
  </si>
  <si>
    <t>Erp</t>
  </si>
  <si>
    <t>beta</t>
  </si>
  <si>
    <t>sigma_p^2</t>
  </si>
  <si>
    <t>sigma_p</t>
  </si>
  <si>
    <t>E(R)</t>
  </si>
  <si>
    <t>σ</t>
  </si>
  <si>
    <t>MF</t>
  </si>
  <si>
    <t>AF</t>
  </si>
  <si>
    <t>w_i</t>
  </si>
  <si>
    <t>w_i_0</t>
  </si>
  <si>
    <t>alpha_A</t>
  </si>
  <si>
    <t>sigma^2(e_A)</t>
  </si>
  <si>
    <t>beta_A</t>
  </si>
  <si>
    <t>w_A(0)</t>
  </si>
  <si>
    <t>w*</t>
  </si>
  <si>
    <t>E(RP)</t>
  </si>
  <si>
    <t>sigma</t>
  </si>
  <si>
    <t>S</t>
  </si>
  <si>
    <t>Items</t>
  </si>
  <si>
    <t>b</t>
  </si>
  <si>
    <t>σ_P</t>
  </si>
  <si>
    <t>z</t>
  </si>
  <si>
    <t>V</t>
  </si>
  <si>
    <t>Var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</si>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</sst>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00"/>
    <numFmt numFmtId="165" formatCode="0.00000000%"/>
    <numFmt numFmtId="166" formatCode="0.0000000"/>
    <numFmt numFmtId="167" formatCode="0.0000"/>
    <numFmt numFmtId="168" formatCode="0.000"/>
    <numFmt numFmtId="169" formatCode="0.0%"/>
    <numFmt numFmtId="170" formatCode="0.000000"/>
  </numFmts>
  <fonts count="2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Symbol"/>
      <family val="1"/>
      <charset val="2"/>
    </font>
    <font>
      <i/>
      <sz val="12"/>
      <name val="Calibri"/>
      <family val="2"/>
      <scheme val="minor"/>
    </font>
    <font>
      <sz val="12"/>
      <name val="Arial"/>
      <family val="2"/>
    </font>
    <font>
      <b/>
      <sz val="11"/>
      <name val="Symbol"/>
      <family val="1"/>
      <charset val="2"/>
    </font>
    <font>
      <b/>
      <sz val="11"/>
      <name val="Calibri"/>
      <family val="2"/>
      <scheme val="minor"/>
    </font>
    <font>
      <b/>
      <vertAlign val="superscript"/>
      <sz val="11"/>
      <name val="Symbol"/>
      <family val="1"/>
      <charset val="2"/>
    </font>
    <font>
      <b/>
      <sz val="11"/>
      <name val="Verdana"/>
      <family val="2"/>
    </font>
    <font>
      <b/>
      <sz val="11"/>
      <name val="Arial"/>
      <family val="2"/>
    </font>
    <font>
      <b/>
      <vertAlign val="subscript"/>
      <sz val="11"/>
      <name val="Calibri"/>
      <family val="2"/>
      <scheme val="minor"/>
    </font>
    <font>
      <b/>
      <vertAlign val="subscript"/>
      <sz val="11"/>
      <name val="Verdana"/>
      <family val="2"/>
    </font>
    <font>
      <b/>
      <vertAlign val="subscript"/>
      <sz val="11"/>
      <name val="Arial"/>
      <family val="2"/>
    </font>
    <font>
      <sz val="12"/>
      <color rgb="FFFF0000"/>
      <name val="Calibri"/>
      <family val="2"/>
      <scheme val="minor"/>
    </font>
    <font>
      <sz val="12"/>
      <color theme="7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</cellStyleXfs>
  <cellXfs count="9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1" xfId="0" applyBorder="1" applyAlignment="1">
      <alignment horizontal="center" wrapText="1"/>
    </xf>
    <xf numFmtId="0" fontId="0" fillId="0" borderId="2" xfId="0" applyBorder="1"/>
    <xf numFmtId="164" fontId="0" fillId="0" borderId="2" xfId="0" applyNumberFormat="1" applyBorder="1"/>
    <xf numFmtId="165" fontId="0" fillId="0" borderId="0" xfId="1" applyNumberFormat="1" applyFont="1" applyBorder="1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left"/>
    </xf>
    <xf numFmtId="0" fontId="0" fillId="2" borderId="0" xfId="0" applyFill="1" applyBorder="1"/>
    <xf numFmtId="166" fontId="0" fillId="0" borderId="0" xfId="0" applyNumberFormat="1" applyBorder="1"/>
    <xf numFmtId="166" fontId="0" fillId="0" borderId="0" xfId="0" applyNumberFormat="1"/>
    <xf numFmtId="166" fontId="0" fillId="0" borderId="0" xfId="0" applyNumberFormat="1" applyFill="1" applyBorder="1"/>
    <xf numFmtId="166" fontId="0" fillId="0" borderId="0" xfId="0" applyNumberFormat="1" applyFill="1"/>
    <xf numFmtId="166" fontId="0" fillId="0" borderId="2" xfId="0" applyNumberFormat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5" fillId="7" borderId="3" xfId="2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9" fillId="7" borderId="8" xfId="3" applyFont="1" applyFill="1" applyBorder="1" applyAlignment="1">
      <alignment horizontal="left" vertical="center"/>
    </xf>
    <xf numFmtId="0" fontId="10" fillId="7" borderId="8" xfId="3" applyFont="1" applyFill="1" applyBorder="1" applyAlignment="1">
      <alignment horizontal="left" vertical="center"/>
    </xf>
    <xf numFmtId="0" fontId="13" fillId="7" borderId="8" xfId="3" applyFont="1" applyFill="1" applyBorder="1" applyAlignment="1">
      <alignment horizontal="left" vertical="center"/>
    </xf>
    <xf numFmtId="0" fontId="13" fillId="7" borderId="7" xfId="3" applyFont="1" applyFill="1" applyBorder="1" applyAlignment="1">
      <alignment horizontal="left" vertical="center"/>
    </xf>
    <xf numFmtId="0" fontId="5" fillId="7" borderId="7" xfId="2" applyFont="1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6" fillId="4" borderId="5" xfId="3" applyFont="1" applyFill="1" applyBorder="1" applyAlignment="1">
      <alignment horizontal="left" vertical="center"/>
    </xf>
    <xf numFmtId="0" fontId="7" fillId="4" borderId="6" xfId="3" applyFont="1" applyFill="1" applyBorder="1" applyAlignment="1">
      <alignment horizontal="left" vertical="center"/>
    </xf>
    <xf numFmtId="0" fontId="6" fillId="4" borderId="6" xfId="3" applyFont="1" applyFill="1" applyBorder="1" applyAlignment="1">
      <alignment horizontal="left" vertical="center"/>
    </xf>
    <xf numFmtId="0" fontId="8" fillId="4" borderId="6" xfId="3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68" fontId="2" fillId="0" borderId="3" xfId="2" applyNumberFormat="1" applyFont="1" applyFill="1" applyBorder="1" applyAlignment="1">
      <alignment horizontal="left" vertical="center"/>
    </xf>
    <xf numFmtId="168" fontId="2" fillId="0" borderId="4" xfId="0" applyNumberFormat="1" applyFont="1" applyFill="1" applyBorder="1" applyAlignment="1">
      <alignment horizontal="left" vertical="center"/>
    </xf>
    <xf numFmtId="168" fontId="2" fillId="0" borderId="9" xfId="0" applyNumberFormat="1" applyFont="1" applyFill="1" applyBorder="1" applyAlignment="1">
      <alignment horizontal="left" vertical="center"/>
    </xf>
    <xf numFmtId="167" fontId="2" fillId="0" borderId="10" xfId="0" applyNumberFormat="1" applyFont="1" applyFill="1" applyBorder="1" applyAlignment="1">
      <alignment horizontal="left" vertical="center"/>
    </xf>
    <xf numFmtId="167" fontId="2" fillId="0" borderId="4" xfId="0" applyNumberFormat="1" applyFont="1" applyFill="1" applyBorder="1" applyAlignment="1">
      <alignment horizontal="left" vertical="center"/>
    </xf>
    <xf numFmtId="168" fontId="2" fillId="0" borderId="3" xfId="0" applyNumberFormat="1" applyFont="1" applyFill="1" applyBorder="1" applyAlignment="1">
      <alignment horizontal="left" vertical="center"/>
    </xf>
    <xf numFmtId="168" fontId="2" fillId="0" borderId="7" xfId="0" applyNumberFormat="1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168" fontId="2" fillId="6" borderId="10" xfId="0" applyNumberFormat="1" applyFont="1" applyFill="1" applyBorder="1" applyAlignment="1">
      <alignment horizontal="left" vertical="center"/>
    </xf>
    <xf numFmtId="168" fontId="2" fillId="6" borderId="4" xfId="0" applyNumberFormat="1" applyFont="1" applyFill="1" applyBorder="1" applyAlignment="1">
      <alignment horizontal="left" vertical="center"/>
    </xf>
    <xf numFmtId="168" fontId="8" fillId="0" borderId="7" xfId="3" applyNumberFormat="1" applyFont="1" applyFill="1" applyBorder="1" applyAlignment="1">
      <alignment horizontal="left" vertical="center"/>
    </xf>
    <xf numFmtId="167" fontId="2" fillId="6" borderId="4" xfId="0" applyNumberFormat="1" applyFont="1" applyFill="1" applyBorder="1" applyAlignment="1">
      <alignment horizontal="left" vertical="center"/>
    </xf>
    <xf numFmtId="167" fontId="2" fillId="0" borderId="7" xfId="2" applyNumberFormat="1" applyFont="1" applyFill="1" applyBorder="1" applyAlignment="1">
      <alignment horizontal="left" vertical="center"/>
    </xf>
    <xf numFmtId="168" fontId="2" fillId="4" borderId="3" xfId="0" applyNumberFormat="1" applyFont="1" applyFill="1" applyBorder="1" applyAlignment="1">
      <alignment horizontal="left" vertic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169" fontId="0" fillId="8" borderId="3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9" fontId="0" fillId="0" borderId="3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67" fontId="0" fillId="0" borderId="3" xfId="0" applyNumberFormat="1" applyBorder="1"/>
    <xf numFmtId="167" fontId="0" fillId="0" borderId="0" xfId="0" applyNumberFormat="1" applyAlignment="1">
      <alignment horizontal="left" vertical="center"/>
    </xf>
    <xf numFmtId="167" fontId="0" fillId="5" borderId="0" xfId="0" applyNumberFormat="1" applyFill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168" fontId="0" fillId="5" borderId="0" xfId="0" applyNumberForma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167" fontId="17" fillId="0" borderId="0" xfId="0" applyNumberFormat="1" applyFont="1" applyAlignment="1">
      <alignment horizontal="left" vertical="center"/>
    </xf>
    <xf numFmtId="0" fontId="17" fillId="0" borderId="0" xfId="0" applyFont="1"/>
    <xf numFmtId="0" fontId="18" fillId="0" borderId="0" xfId="0" applyFont="1" applyAlignment="1">
      <alignment horizontal="left" vertical="center"/>
    </xf>
    <xf numFmtId="167" fontId="18" fillId="0" borderId="0" xfId="0" applyNumberFormat="1" applyFont="1" applyAlignment="1">
      <alignment horizontal="left" vertical="center"/>
    </xf>
    <xf numFmtId="0" fontId="18" fillId="0" borderId="0" xfId="0" applyFont="1"/>
    <xf numFmtId="167" fontId="0" fillId="0" borderId="0" xfId="0" applyNumberFormat="1"/>
    <xf numFmtId="0" fontId="0" fillId="0" borderId="0" xfId="0" applyFill="1"/>
    <xf numFmtId="0" fontId="0" fillId="0" borderId="0" xfId="0" applyFont="1" applyFill="1" applyAlignment="1">
      <alignment horizontal="left"/>
    </xf>
    <xf numFmtId="0" fontId="19" fillId="0" borderId="0" xfId="3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170" fontId="0" fillId="0" borderId="0" xfId="0" applyNumberFormat="1" applyAlignment="1">
      <alignment horizontal="left"/>
    </xf>
    <xf numFmtId="167" fontId="2" fillId="0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0" fillId="0" borderId="5" xfId="0" applyFont="1" applyBorder="1" applyAlignment="1">
      <alignment horizontal="left" vertical="center"/>
    </xf>
    <xf numFmtId="169" fontId="8" fillId="0" borderId="7" xfId="1" applyNumberFormat="1" applyFont="1" applyBorder="1" applyAlignment="1">
      <alignment horizontal="center" vertical="center"/>
    </xf>
    <xf numFmtId="169" fontId="0" fillId="0" borderId="0" xfId="1" applyNumberFormat="1" applyFont="1" applyAlignment="1">
      <alignment horizontal="center"/>
    </xf>
    <xf numFmtId="0" fontId="21" fillId="0" borderId="0" xfId="0" applyFont="1" applyAlignment="1">
      <alignment horizontal="left" vertical="center"/>
    </xf>
    <xf numFmtId="168" fontId="21" fillId="0" borderId="0" xfId="0" applyNumberFormat="1" applyFont="1" applyAlignment="1">
      <alignment horizontal="left" vertical="center"/>
    </xf>
    <xf numFmtId="167" fontId="21" fillId="0" borderId="0" xfId="0" applyNumberFormat="1" applyFont="1" applyAlignment="1">
      <alignment horizontal="left" vertical="center"/>
    </xf>
  </cellXfs>
  <cellStyles count="4">
    <cellStyle name="Normal" xfId="0" builtinId="0"/>
    <cellStyle name="Normal 2" xfId="3" xr:uid="{5573DB83-AD37-0741-8DA2-7A3DB740AD15}"/>
    <cellStyle name="Normal 2 2" xfId="2" xr:uid="{7052E4AC-E109-1744-B08A-A1548F7378C1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50800</xdr:colOff>
      <xdr:row>31</xdr:row>
      <xdr:rowOff>38100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6FDC1E-AF96-A14F-8612-585AC90F37AE}"/>
            </a:ext>
          </a:extLst>
        </xdr:cNvPr>
        <xdr:cNvSpPr txBox="1"/>
      </xdr:nvSpPr>
      <xdr:spPr>
        <a:xfrm>
          <a:off x="11125200" y="613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44450</xdr:colOff>
      <xdr:row>35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300EF68-4F1B-C04B-83BA-9A2C126DB5F1}"/>
            </a:ext>
          </a:extLst>
        </xdr:cNvPr>
        <xdr:cNvSpPr txBox="1"/>
      </xdr:nvSpPr>
      <xdr:spPr>
        <a:xfrm>
          <a:off x="11118850" y="7004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304800</xdr:colOff>
      <xdr:row>32</xdr:row>
      <xdr:rowOff>196850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24B5E1-86AC-204D-99BA-51AEEC45689E}"/>
            </a:ext>
          </a:extLst>
        </xdr:cNvPr>
        <xdr:cNvSpPr txBox="1"/>
      </xdr:nvSpPr>
      <xdr:spPr>
        <a:xfrm>
          <a:off x="11379200" y="6496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F644-9AD0-9943-AA0D-5DDADDCEF912}">
  <dimension ref="A1:O25"/>
  <sheetViews>
    <sheetView zoomScale="110" zoomScaleNormal="110" workbookViewId="0">
      <selection activeCell="C4" sqref="C4"/>
    </sheetView>
  </sheetViews>
  <sheetFormatPr baseColWidth="10" defaultRowHeight="16" x14ac:dyDescent="0.2"/>
  <cols>
    <col min="1" max="1" width="31.5" bestFit="1" customWidth="1"/>
    <col min="2" max="2" width="22.33203125" customWidth="1"/>
    <col min="4" max="5" width="22" customWidth="1"/>
    <col min="6" max="10" width="16.83203125" customWidth="1"/>
    <col min="11" max="11" width="12.5" bestFit="1" customWidth="1"/>
    <col min="14" max="14" width="12.5" bestFit="1" customWidth="1"/>
    <col min="15" max="15" width="13.1640625" bestFit="1" customWidth="1"/>
  </cols>
  <sheetData>
    <row r="1" spans="1:15" x14ac:dyDescent="0.2">
      <c r="D1" s="84" t="s">
        <v>29</v>
      </c>
      <c r="E1" s="84"/>
      <c r="F1" s="84" t="s">
        <v>28</v>
      </c>
      <c r="G1" s="84"/>
      <c r="H1" s="84"/>
      <c r="I1" s="84"/>
      <c r="J1" s="84"/>
    </row>
    <row r="2" spans="1:15" s="1" customFormat="1" ht="35" thickBot="1" x14ac:dyDescent="0.25">
      <c r="A2" s="5" t="s">
        <v>24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19</v>
      </c>
      <c r="G2" s="5" t="s">
        <v>4</v>
      </c>
      <c r="H2" s="5" t="s">
        <v>20</v>
      </c>
      <c r="I2" s="5" t="s">
        <v>21</v>
      </c>
      <c r="J2" s="5" t="s">
        <v>22</v>
      </c>
    </row>
    <row r="3" spans="1:15" s="1" customFormat="1" ht="18" thickTop="1" x14ac:dyDescent="0.2">
      <c r="A3" s="9" t="s">
        <v>25</v>
      </c>
      <c r="B3" s="10"/>
      <c r="C3" s="10"/>
      <c r="D3" s="10"/>
      <c r="E3" s="10"/>
      <c r="F3" s="10"/>
      <c r="G3" s="10"/>
      <c r="H3" s="10"/>
      <c r="I3" s="10"/>
      <c r="J3" s="10"/>
    </row>
    <row r="4" spans="1:15" s="3" customFormat="1" x14ac:dyDescent="0.2">
      <c r="A4" s="3" t="s">
        <v>27</v>
      </c>
      <c r="B4" s="3" t="s">
        <v>23</v>
      </c>
      <c r="C4" s="3" t="s">
        <v>5</v>
      </c>
      <c r="D4" s="3">
        <v>1.315E-2</v>
      </c>
      <c r="E4" s="3">
        <v>0</v>
      </c>
      <c r="F4" s="3">
        <v>4.3833499999999997E-2</v>
      </c>
      <c r="G4" s="3">
        <v>1</v>
      </c>
      <c r="H4" s="3">
        <v>1.9214E-3</v>
      </c>
      <c r="I4" s="3">
        <v>1.9214E-3</v>
      </c>
      <c r="J4" s="3">
        <v>0</v>
      </c>
    </row>
    <row r="5" spans="1:15" s="3" customFormat="1" x14ac:dyDescent="0.2">
      <c r="A5" s="11" t="s">
        <v>26</v>
      </c>
      <c r="B5" s="12"/>
      <c r="C5" s="12"/>
      <c r="D5" s="12"/>
      <c r="E5" s="12"/>
      <c r="F5" s="12"/>
      <c r="G5" s="12"/>
      <c r="H5" s="12"/>
      <c r="I5" s="12"/>
      <c r="J5" s="12"/>
    </row>
    <row r="6" spans="1:15" s="3" customFormat="1" x14ac:dyDescent="0.2">
      <c r="A6" s="3" t="s">
        <v>46</v>
      </c>
      <c r="B6" t="s">
        <v>13</v>
      </c>
      <c r="C6" s="3" t="s">
        <v>30</v>
      </c>
      <c r="D6" s="4"/>
      <c r="E6" s="13">
        <v>3.7453999999999999E-3</v>
      </c>
      <c r="F6" s="13">
        <v>8.2140000000000005E-2</v>
      </c>
      <c r="G6" s="13">
        <v>1.2930465</v>
      </c>
      <c r="H6" s="13">
        <v>6.7470000000000004E-3</v>
      </c>
      <c r="I6" s="13">
        <v>3.2125000000000001E-3</v>
      </c>
      <c r="J6" s="13">
        <v>2.5785000000000001E-3</v>
      </c>
      <c r="K6" s="4"/>
      <c r="N6" s="4"/>
    </row>
    <row r="7" spans="1:15" x14ac:dyDescent="0.2">
      <c r="A7" t="s">
        <v>7</v>
      </c>
      <c r="B7" t="s">
        <v>8</v>
      </c>
      <c r="C7" t="s">
        <v>9</v>
      </c>
      <c r="D7" s="2"/>
      <c r="E7" s="14">
        <v>2.6220000000000002E-3</v>
      </c>
      <c r="F7" s="13">
        <v>7.5657500000000003E-2</v>
      </c>
      <c r="G7" s="14">
        <v>1.2819191999999999</v>
      </c>
      <c r="H7" s="13">
        <v>5.7241000000000002E-3</v>
      </c>
      <c r="I7" s="14">
        <v>3.1573999999999999E-3</v>
      </c>
      <c r="J7" s="14">
        <v>2.5666E-3</v>
      </c>
      <c r="K7" s="4"/>
      <c r="L7" s="3"/>
      <c r="M7" s="3"/>
      <c r="N7" s="4"/>
      <c r="O7" s="3"/>
    </row>
    <row r="8" spans="1:15" x14ac:dyDescent="0.2">
      <c r="A8" t="s">
        <v>47</v>
      </c>
      <c r="B8" t="s">
        <v>6</v>
      </c>
      <c r="C8" t="s">
        <v>10</v>
      </c>
      <c r="D8" s="2"/>
      <c r="E8" s="14">
        <v>1.9468E-3</v>
      </c>
      <c r="F8" s="13">
        <v>7.8617599999999996E-2</v>
      </c>
      <c r="G8" s="14">
        <v>1.1857153</v>
      </c>
      <c r="H8" s="13">
        <v>6.1806999999999999E-3</v>
      </c>
      <c r="I8" s="14">
        <v>2.7012999999999998E-3</v>
      </c>
      <c r="J8" s="14">
        <v>3.4794000000000001E-3</v>
      </c>
      <c r="K8" s="4"/>
      <c r="L8" s="3"/>
      <c r="M8" s="3"/>
      <c r="N8" s="4"/>
      <c r="O8" s="3"/>
    </row>
    <row r="9" spans="1:15" x14ac:dyDescent="0.2">
      <c r="A9" t="s">
        <v>48</v>
      </c>
      <c r="B9" t="s">
        <v>13</v>
      </c>
      <c r="C9" t="s">
        <v>31</v>
      </c>
      <c r="D9" s="2"/>
      <c r="E9" s="14">
        <v>2.1381E-3</v>
      </c>
      <c r="F9" s="13">
        <v>6.0873900000000002E-2</v>
      </c>
      <c r="G9" s="14">
        <v>0.78438090000000005</v>
      </c>
      <c r="H9" s="13">
        <v>3.7055999999999999E-3</v>
      </c>
      <c r="I9" s="14">
        <v>1.1820999999999999E-3</v>
      </c>
      <c r="J9" s="14">
        <v>3.3793E-3</v>
      </c>
      <c r="K9" s="4"/>
      <c r="L9" s="3"/>
      <c r="M9" s="3"/>
      <c r="N9" s="4"/>
      <c r="O9" s="3"/>
    </row>
    <row r="10" spans="1:15" x14ac:dyDescent="0.2">
      <c r="A10" t="s">
        <v>49</v>
      </c>
      <c r="B10" t="s">
        <v>13</v>
      </c>
      <c r="C10" t="s">
        <v>32</v>
      </c>
      <c r="D10" s="2"/>
      <c r="E10" s="14">
        <v>1.1876E-3</v>
      </c>
      <c r="F10" s="13">
        <v>8.9104699999999995E-2</v>
      </c>
      <c r="G10" s="14">
        <v>1.3017342000000001</v>
      </c>
      <c r="H10" s="13">
        <v>7.9396999999999992E-3</v>
      </c>
      <c r="I10" s="14">
        <v>3.2558000000000001E-3</v>
      </c>
      <c r="J10" s="14">
        <v>4.6839000000000004E-3</v>
      </c>
      <c r="K10" s="4"/>
      <c r="L10" s="3"/>
      <c r="M10" s="3"/>
      <c r="N10" s="4"/>
      <c r="O10" s="3"/>
    </row>
    <row r="11" spans="1:15" x14ac:dyDescent="0.2">
      <c r="A11" t="s">
        <v>50</v>
      </c>
      <c r="B11" t="s">
        <v>12</v>
      </c>
      <c r="C11" t="s">
        <v>33</v>
      </c>
      <c r="D11" s="2"/>
      <c r="E11" s="14">
        <v>1.3401999999999999E-3</v>
      </c>
      <c r="F11" s="13">
        <v>7.0233599999999993E-2</v>
      </c>
      <c r="G11" s="14">
        <v>1.0584742</v>
      </c>
      <c r="H11" s="13">
        <v>4.9328000000000002E-3</v>
      </c>
      <c r="I11" s="14">
        <v>2.1526000000000002E-3</v>
      </c>
      <c r="J11" s="14">
        <v>2.7801000000000002E-3</v>
      </c>
      <c r="K11" s="4"/>
      <c r="L11" s="3"/>
      <c r="M11" s="3"/>
      <c r="N11" s="4"/>
      <c r="O11" s="3"/>
    </row>
    <row r="12" spans="1:15" x14ac:dyDescent="0.2">
      <c r="A12" t="s">
        <v>51</v>
      </c>
      <c r="B12" t="s">
        <v>13</v>
      </c>
      <c r="C12" t="s">
        <v>34</v>
      </c>
      <c r="D12" s="2"/>
      <c r="E12" s="14">
        <v>-1.884E-4</v>
      </c>
      <c r="F12" s="15">
        <v>7.1231100000000006E-2</v>
      </c>
      <c r="G12" s="16">
        <v>0.4994285</v>
      </c>
      <c r="H12" s="15">
        <v>5.0739000000000001E-3</v>
      </c>
      <c r="I12" s="16">
        <v>4.7919999999999999E-4</v>
      </c>
      <c r="J12" s="16">
        <v>4.5945999999999999E-3</v>
      </c>
      <c r="K12" s="4"/>
      <c r="L12" s="3"/>
      <c r="M12" s="3"/>
      <c r="N12" s="4"/>
      <c r="O12" s="3"/>
    </row>
    <row r="13" spans="1:15" x14ac:dyDescent="0.2">
      <c r="A13" t="s">
        <v>52</v>
      </c>
      <c r="B13" t="s">
        <v>45</v>
      </c>
      <c r="C13" t="s">
        <v>35</v>
      </c>
      <c r="D13" s="2"/>
      <c r="E13" s="14">
        <v>1.583E-4</v>
      </c>
      <c r="F13" s="15">
        <v>7.3631000000000002E-2</v>
      </c>
      <c r="G13" s="16">
        <v>1.2060801999999999</v>
      </c>
      <c r="H13" s="15">
        <v>5.4215000000000001E-3</v>
      </c>
      <c r="I13" s="16">
        <v>2.7948999999999999E-3</v>
      </c>
      <c r="J13" s="16">
        <v>2.6266000000000002E-3</v>
      </c>
      <c r="K13" s="4"/>
      <c r="L13" s="3"/>
      <c r="M13" s="3"/>
      <c r="N13" s="4"/>
      <c r="O13" s="3"/>
    </row>
    <row r="14" spans="1:15" x14ac:dyDescent="0.2">
      <c r="A14" t="s">
        <v>53</v>
      </c>
      <c r="B14" t="s">
        <v>14</v>
      </c>
      <c r="C14" t="s">
        <v>36</v>
      </c>
      <c r="D14" s="2"/>
      <c r="E14" s="14">
        <v>6.6279999999999996E-4</v>
      </c>
      <c r="F14" s="15">
        <v>7.1069800000000002E-2</v>
      </c>
      <c r="G14" s="16">
        <v>0.9940483</v>
      </c>
      <c r="H14" s="15">
        <v>5.0508999999999997E-3</v>
      </c>
      <c r="I14" s="16">
        <v>1.8986000000000001E-3</v>
      </c>
      <c r="J14" s="16">
        <v>3.1522999999999998E-3</v>
      </c>
      <c r="K14" s="4"/>
      <c r="L14" s="3"/>
      <c r="M14" s="3"/>
      <c r="N14" s="4"/>
      <c r="O14" s="3"/>
    </row>
    <row r="15" spans="1:15" x14ac:dyDescent="0.2">
      <c r="A15" t="s">
        <v>15</v>
      </c>
      <c r="B15" t="s">
        <v>13</v>
      </c>
      <c r="C15" t="s">
        <v>16</v>
      </c>
      <c r="D15" s="2"/>
      <c r="E15" s="14">
        <v>3.21E-4</v>
      </c>
      <c r="F15" s="15">
        <v>4.0202000000000002E-2</v>
      </c>
      <c r="G15" s="16">
        <v>0.4240081</v>
      </c>
      <c r="H15" s="15">
        <v>1.6161999999999999E-3</v>
      </c>
      <c r="I15" s="16">
        <v>3.4539999999999999E-4</v>
      </c>
      <c r="J15" s="16">
        <v>1.2708000000000001E-3</v>
      </c>
      <c r="K15" s="4"/>
      <c r="L15" s="3"/>
      <c r="M15" s="3"/>
      <c r="N15" s="4"/>
      <c r="O15" s="8"/>
    </row>
    <row r="16" spans="1:15" x14ac:dyDescent="0.2">
      <c r="A16" t="s">
        <v>54</v>
      </c>
      <c r="B16" t="s">
        <v>13</v>
      </c>
      <c r="C16" t="s">
        <v>37</v>
      </c>
      <c r="D16" s="2"/>
      <c r="E16" s="14">
        <v>-1.5211000000000001E-3</v>
      </c>
      <c r="F16" s="15">
        <v>7.9244899999999993E-2</v>
      </c>
      <c r="G16" s="16">
        <v>1.2801305000000001</v>
      </c>
      <c r="H16" s="15">
        <v>6.2798000000000003E-3</v>
      </c>
      <c r="I16" s="16">
        <v>3.1486000000000001E-3</v>
      </c>
      <c r="J16" s="16">
        <v>4.2253999999999998E-3</v>
      </c>
      <c r="K16" s="4"/>
      <c r="L16" s="3"/>
      <c r="M16" s="3"/>
      <c r="N16" s="4"/>
      <c r="O16" s="3"/>
    </row>
    <row r="17" spans="1:15" x14ac:dyDescent="0.2">
      <c r="A17" t="s">
        <v>55</v>
      </c>
      <c r="B17" t="s">
        <v>8</v>
      </c>
      <c r="C17" t="s">
        <v>17</v>
      </c>
      <c r="D17" s="2"/>
      <c r="E17" s="14">
        <v>5.2380000000000005E-4</v>
      </c>
      <c r="F17" s="15">
        <v>0.1024712</v>
      </c>
      <c r="G17" s="16">
        <v>1.6255375000000001</v>
      </c>
      <c r="H17" s="15">
        <v>1.05004E-2</v>
      </c>
      <c r="I17" s="16">
        <v>5.0769999999999999E-3</v>
      </c>
      <c r="J17" s="16">
        <v>5.4234000000000001E-3</v>
      </c>
      <c r="K17" s="4"/>
      <c r="L17" s="3"/>
      <c r="M17" s="3"/>
      <c r="N17" s="4"/>
      <c r="O17" s="3"/>
    </row>
    <row r="18" spans="1:15" x14ac:dyDescent="0.2">
      <c r="A18" t="s">
        <v>56</v>
      </c>
      <c r="B18" t="s">
        <v>14</v>
      </c>
      <c r="C18" t="s">
        <v>38</v>
      </c>
      <c r="D18" s="2"/>
      <c r="E18" s="14">
        <v>2.0516000000000002E-3</v>
      </c>
      <c r="F18" s="15">
        <v>6.4780900000000002E-2</v>
      </c>
      <c r="G18" s="16">
        <v>0.74063330000000005</v>
      </c>
      <c r="H18" s="15">
        <v>4.1966E-3</v>
      </c>
      <c r="I18" s="16">
        <v>1.0539E-3</v>
      </c>
      <c r="J18" s="16">
        <v>3.1426000000000002E-3</v>
      </c>
      <c r="K18" s="4"/>
      <c r="L18" s="3"/>
      <c r="M18" s="3"/>
      <c r="N18" s="4"/>
      <c r="O18" s="3"/>
    </row>
    <row r="19" spans="1:15" x14ac:dyDescent="0.2">
      <c r="A19" t="s">
        <v>57</v>
      </c>
      <c r="B19" t="s">
        <v>13</v>
      </c>
      <c r="C19" t="s">
        <v>39</v>
      </c>
      <c r="D19" s="2"/>
      <c r="E19" s="14">
        <v>-3.2483999999999998E-3</v>
      </c>
      <c r="F19" s="15">
        <v>7.6914800000000005E-2</v>
      </c>
      <c r="G19" s="16">
        <v>0.94799719999999998</v>
      </c>
      <c r="H19" s="15">
        <v>5.9159E-3</v>
      </c>
      <c r="I19" s="16">
        <v>1.7267000000000001E-3</v>
      </c>
      <c r="J19" s="16">
        <v>4.1891000000000003E-3</v>
      </c>
      <c r="K19" s="4"/>
      <c r="L19" s="3"/>
      <c r="M19" s="3"/>
      <c r="N19" s="4"/>
      <c r="O19" s="3"/>
    </row>
    <row r="20" spans="1:15" x14ac:dyDescent="0.2">
      <c r="A20" t="s">
        <v>58</v>
      </c>
      <c r="B20" t="s">
        <v>13</v>
      </c>
      <c r="C20" t="s">
        <v>40</v>
      </c>
      <c r="D20" s="2"/>
      <c r="E20" s="14">
        <v>-8.2580000000000001E-4</v>
      </c>
      <c r="F20" s="15">
        <v>8.6482199999999995E-2</v>
      </c>
      <c r="G20" s="16">
        <v>1.1447377000000001</v>
      </c>
      <c r="H20" s="15">
        <v>7.4792000000000001E-3</v>
      </c>
      <c r="I20" s="16">
        <v>2.5178000000000002E-3</v>
      </c>
      <c r="J20" s="16">
        <v>2.2913E-3</v>
      </c>
      <c r="K20" s="4"/>
      <c r="L20" s="3"/>
      <c r="M20" s="3"/>
      <c r="N20" s="4"/>
      <c r="O20" s="3"/>
    </row>
    <row r="21" spans="1:15" x14ac:dyDescent="0.2">
      <c r="A21" t="s">
        <v>59</v>
      </c>
      <c r="B21" t="s">
        <v>6</v>
      </c>
      <c r="C21" t="s">
        <v>41</v>
      </c>
      <c r="D21" s="2"/>
      <c r="E21" s="14">
        <v>1.8220000000000001E-4</v>
      </c>
      <c r="F21" s="13">
        <v>7.9273399999999994E-2</v>
      </c>
      <c r="G21" s="14">
        <v>0.89279120000000001</v>
      </c>
      <c r="H21" s="13">
        <v>6.2842999999999996E-3</v>
      </c>
      <c r="I21" s="14">
        <v>1.5315000000000001E-3</v>
      </c>
      <c r="J21" s="14">
        <v>4.7527999999999997E-3</v>
      </c>
      <c r="K21" s="4"/>
      <c r="L21" s="3"/>
      <c r="M21" s="3"/>
      <c r="N21" s="4"/>
      <c r="O21" s="3"/>
    </row>
    <row r="22" spans="1:15" x14ac:dyDescent="0.2">
      <c r="A22" t="s">
        <v>60</v>
      </c>
      <c r="B22" t="s">
        <v>13</v>
      </c>
      <c r="C22" t="s">
        <v>42</v>
      </c>
      <c r="D22" s="2"/>
      <c r="E22" s="14">
        <v>3.4001999999999999E-3</v>
      </c>
      <c r="F22" s="13">
        <v>0.1039619</v>
      </c>
      <c r="G22" s="14">
        <v>0.83066720000000005</v>
      </c>
      <c r="H22" s="13">
        <v>1.0808099999999999E-2</v>
      </c>
      <c r="I22" s="14">
        <v>1.3258E-3</v>
      </c>
      <c r="J22" s="14">
        <v>9.4823000000000008E-3</v>
      </c>
      <c r="K22" s="4"/>
      <c r="L22" s="3"/>
      <c r="M22" s="3"/>
      <c r="N22" s="4"/>
      <c r="O22" s="3"/>
    </row>
    <row r="23" spans="1:15" x14ac:dyDescent="0.2">
      <c r="A23" t="s">
        <v>61</v>
      </c>
      <c r="B23" t="s">
        <v>11</v>
      </c>
      <c r="C23" t="s">
        <v>18</v>
      </c>
      <c r="D23" s="2"/>
      <c r="E23" s="14">
        <v>2.6773999999999999E-3</v>
      </c>
      <c r="F23" s="13">
        <v>4.65099E-2</v>
      </c>
      <c r="G23" s="14">
        <v>0.49263430000000002</v>
      </c>
      <c r="H23" s="13">
        <v>2.1632000000000001E-3</v>
      </c>
      <c r="I23" s="14">
        <v>4.663E-4</v>
      </c>
      <c r="J23" s="14">
        <v>1.6969000000000001E-3</v>
      </c>
      <c r="K23" s="4"/>
      <c r="L23" s="3"/>
      <c r="M23" s="3"/>
      <c r="N23" s="4"/>
      <c r="O23" s="3"/>
    </row>
    <row r="24" spans="1:15" x14ac:dyDescent="0.2">
      <c r="A24" t="s">
        <v>62</v>
      </c>
      <c r="B24" t="s">
        <v>12</v>
      </c>
      <c r="C24" t="s">
        <v>43</v>
      </c>
      <c r="D24" s="2"/>
      <c r="E24" s="14">
        <v>1.5326000000000001E-3</v>
      </c>
      <c r="F24" s="13">
        <v>8.1392999999999993E-2</v>
      </c>
      <c r="G24" s="14">
        <v>0.9919675</v>
      </c>
      <c r="H24" s="13">
        <v>6.6248000000000001E-3</v>
      </c>
      <c r="I24" s="14">
        <v>1.8906000000000001E-3</v>
      </c>
      <c r="J24" s="14">
        <v>4.7342E-3</v>
      </c>
      <c r="K24" s="4"/>
      <c r="L24" s="3"/>
      <c r="M24" s="3"/>
      <c r="N24" s="4"/>
      <c r="O24" s="3"/>
    </row>
    <row r="25" spans="1:15" x14ac:dyDescent="0.2">
      <c r="A25" s="6" t="s">
        <v>63</v>
      </c>
      <c r="B25" s="6" t="s">
        <v>13</v>
      </c>
      <c r="C25" s="6" t="s">
        <v>44</v>
      </c>
      <c r="D25" s="7"/>
      <c r="E25" s="17">
        <v>3.1399999999999999E-4</v>
      </c>
      <c r="F25" s="17">
        <v>6.1430100000000001E-2</v>
      </c>
      <c r="G25" s="17">
        <v>0.67471769999999998</v>
      </c>
      <c r="H25" s="17">
        <v>3.7737000000000001E-3</v>
      </c>
      <c r="I25" s="17">
        <v>8.7469999999999996E-4</v>
      </c>
      <c r="J25" s="17">
        <v>2.8990000000000001E-3</v>
      </c>
      <c r="K25" s="4"/>
      <c r="L25" s="3"/>
      <c r="M25" s="3"/>
      <c r="N25" s="4"/>
      <c r="O25" s="3"/>
    </row>
  </sheetData>
  <mergeCells count="2">
    <mergeCell ref="F1:J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3267-3654-F340-B676-77604561DC16}">
  <dimension ref="A1:N50"/>
  <sheetViews>
    <sheetView tabSelected="1" zoomScale="110" zoomScaleNormal="110" workbookViewId="0">
      <selection activeCell="D17" sqref="D17"/>
    </sheetView>
  </sheetViews>
  <sheetFormatPr baseColWidth="10" defaultRowHeight="16" x14ac:dyDescent="0.2"/>
  <cols>
    <col min="1" max="1" width="29.6640625" bestFit="1" customWidth="1"/>
    <col min="2" max="2" width="21.5" bestFit="1" customWidth="1"/>
    <col min="3" max="3" width="14.1640625" bestFit="1" customWidth="1"/>
    <col min="4" max="4" width="14.83203125" customWidth="1"/>
    <col min="6" max="6" width="19" customWidth="1"/>
    <col min="7" max="7" width="12.1640625" bestFit="1" customWidth="1"/>
    <col min="8" max="8" width="12.5" customWidth="1"/>
    <col min="9" max="9" width="17.6640625" bestFit="1" customWidth="1"/>
    <col min="10" max="10" width="21" customWidth="1"/>
    <col min="11" max="11" width="18.5" customWidth="1"/>
    <col min="12" max="12" width="19.6640625" customWidth="1"/>
    <col min="13" max="13" width="11.1640625" customWidth="1"/>
  </cols>
  <sheetData>
    <row r="1" spans="1:14" x14ac:dyDescent="0.2">
      <c r="A1" s="18"/>
      <c r="B1" s="19"/>
      <c r="C1" s="19"/>
      <c r="D1" s="19" t="s">
        <v>29</v>
      </c>
      <c r="E1" s="19"/>
      <c r="F1" s="19" t="s">
        <v>28</v>
      </c>
      <c r="G1" s="19"/>
      <c r="H1" s="19"/>
      <c r="I1" s="19"/>
      <c r="J1" s="19"/>
      <c r="K1" s="20"/>
      <c r="L1" s="20"/>
    </row>
    <row r="2" spans="1:14" x14ac:dyDescent="0.2">
      <c r="A2" s="21" t="s">
        <v>24</v>
      </c>
      <c r="B2" s="21" t="s">
        <v>0</v>
      </c>
      <c r="C2" s="21" t="s">
        <v>1</v>
      </c>
      <c r="D2" s="21" t="s">
        <v>2</v>
      </c>
      <c r="E2" s="21" t="s">
        <v>3</v>
      </c>
      <c r="F2" s="21" t="s">
        <v>69</v>
      </c>
      <c r="G2" s="21" t="s">
        <v>4</v>
      </c>
      <c r="H2" s="21" t="s">
        <v>20</v>
      </c>
      <c r="I2" s="21" t="s">
        <v>21</v>
      </c>
      <c r="J2" s="21" t="s">
        <v>64</v>
      </c>
      <c r="K2" s="21" t="s">
        <v>22</v>
      </c>
      <c r="L2" s="21" t="s">
        <v>65</v>
      </c>
    </row>
    <row r="3" spans="1:14" x14ac:dyDescent="0.2">
      <c r="A3" s="23" t="s">
        <v>67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4" x14ac:dyDescent="0.2">
      <c r="A4" s="22" t="s">
        <v>27</v>
      </c>
      <c r="B4" s="22" t="s">
        <v>23</v>
      </c>
      <c r="C4" s="22" t="s">
        <v>5</v>
      </c>
      <c r="D4" s="69">
        <v>1.315E-2</v>
      </c>
      <c r="E4" s="22">
        <v>0</v>
      </c>
      <c r="F4" s="67">
        <v>4.3833499999999997E-2</v>
      </c>
      <c r="G4" s="22">
        <v>1</v>
      </c>
      <c r="H4" s="67">
        <v>1.9214E-3</v>
      </c>
      <c r="I4" s="67">
        <v>1.9214E-3</v>
      </c>
      <c r="J4" s="67">
        <f>SQRT(I4)</f>
        <v>4.3833776930581742E-2</v>
      </c>
      <c r="K4" s="67">
        <v>0</v>
      </c>
      <c r="L4" s="67">
        <f>SQRT(K4)</f>
        <v>0</v>
      </c>
    </row>
    <row r="5" spans="1:14" x14ac:dyDescent="0.2">
      <c r="A5" s="23" t="s">
        <v>66</v>
      </c>
      <c r="B5" s="23"/>
      <c r="C5" s="23"/>
      <c r="D5" s="70"/>
      <c r="E5" s="23"/>
      <c r="F5" s="68"/>
      <c r="G5" s="23"/>
      <c r="H5" s="68"/>
      <c r="I5" s="68"/>
      <c r="J5" s="68"/>
      <c r="K5" s="68"/>
      <c r="L5" s="68"/>
    </row>
    <row r="6" spans="1:14" x14ac:dyDescent="0.2">
      <c r="A6" s="22" t="s">
        <v>46</v>
      </c>
      <c r="B6" s="22" t="s">
        <v>13</v>
      </c>
      <c r="C6" s="22" t="s">
        <v>30</v>
      </c>
      <c r="D6" s="69">
        <f>E6+G6*$D$4</f>
        <v>2.0748961475000001E-2</v>
      </c>
      <c r="E6" s="67">
        <v>3.7453999999999999E-3</v>
      </c>
      <c r="F6" s="67">
        <v>8.2140000000000005E-2</v>
      </c>
      <c r="G6" s="67">
        <v>1.2930465</v>
      </c>
      <c r="H6" s="67">
        <v>6.7470000000000004E-3</v>
      </c>
      <c r="I6" s="67">
        <v>3.2125000000000001E-3</v>
      </c>
      <c r="J6" s="67">
        <f t="shared" ref="J6:J25" si="0">SQRT(I6)</f>
        <v>5.6678920243773169E-2</v>
      </c>
      <c r="K6" s="67">
        <v>2.5785000000000001E-3</v>
      </c>
      <c r="L6" s="67">
        <f t="shared" ref="L6:L25" si="1">SQRT(K6)</f>
        <v>5.077893263943227E-2</v>
      </c>
    </row>
    <row r="7" spans="1:14" x14ac:dyDescent="0.2">
      <c r="A7" s="22" t="s">
        <v>7</v>
      </c>
      <c r="B7" s="22" t="s">
        <v>8</v>
      </c>
      <c r="C7" s="22" t="s">
        <v>9</v>
      </c>
      <c r="D7" s="69">
        <f t="shared" ref="D7:D25" si="2">E7+G7*$D$4</f>
        <v>1.9479237479999998E-2</v>
      </c>
      <c r="E7" s="67">
        <v>2.6220000000000002E-3</v>
      </c>
      <c r="F7" s="67">
        <v>7.5657500000000003E-2</v>
      </c>
      <c r="G7" s="67">
        <v>1.2819191999999999</v>
      </c>
      <c r="H7" s="67">
        <v>5.7241000000000002E-3</v>
      </c>
      <c r="I7" s="67">
        <v>3.1573999999999999E-3</v>
      </c>
      <c r="J7" s="67">
        <f t="shared" si="0"/>
        <v>5.6190746569163855E-2</v>
      </c>
      <c r="K7" s="67">
        <v>2.5666E-3</v>
      </c>
      <c r="L7" s="67">
        <f t="shared" si="1"/>
        <v>5.0661622555934781E-2</v>
      </c>
    </row>
    <row r="8" spans="1:14" x14ac:dyDescent="0.2">
      <c r="A8" s="22" t="s">
        <v>47</v>
      </c>
      <c r="B8" s="22" t="s">
        <v>6</v>
      </c>
      <c r="C8" s="22" t="s">
        <v>10</v>
      </c>
      <c r="D8" s="69">
        <f t="shared" si="2"/>
        <v>1.7538956195E-2</v>
      </c>
      <c r="E8" s="67">
        <v>1.9468E-3</v>
      </c>
      <c r="F8" s="67">
        <v>7.8617599999999996E-2</v>
      </c>
      <c r="G8" s="67">
        <v>1.1857153</v>
      </c>
      <c r="H8" s="67">
        <v>6.1806999999999999E-3</v>
      </c>
      <c r="I8" s="67">
        <v>2.7012999999999998E-3</v>
      </c>
      <c r="J8" s="67">
        <f t="shared" si="0"/>
        <v>5.1974031977517383E-2</v>
      </c>
      <c r="K8" s="67">
        <v>3.4794000000000001E-3</v>
      </c>
      <c r="L8" s="67">
        <f t="shared" si="1"/>
        <v>5.8986439119512887E-2</v>
      </c>
    </row>
    <row r="9" spans="1:14" x14ac:dyDescent="0.2">
      <c r="A9" s="22" t="s">
        <v>48</v>
      </c>
      <c r="B9" s="22" t="s">
        <v>13</v>
      </c>
      <c r="C9" s="22" t="s">
        <v>31</v>
      </c>
      <c r="D9" s="69">
        <f t="shared" si="2"/>
        <v>1.2452708835000001E-2</v>
      </c>
      <c r="E9" s="67">
        <v>2.1381E-3</v>
      </c>
      <c r="F9" s="67">
        <v>6.0873900000000002E-2</v>
      </c>
      <c r="G9" s="67">
        <v>0.78438090000000005</v>
      </c>
      <c r="H9" s="67">
        <v>3.7055999999999999E-3</v>
      </c>
      <c r="I9" s="67">
        <v>1.1820999999999999E-3</v>
      </c>
      <c r="J9" s="67">
        <f t="shared" si="0"/>
        <v>3.4381681168901557E-2</v>
      </c>
      <c r="K9" s="67">
        <v>3.3793E-3</v>
      </c>
      <c r="L9" s="67">
        <f t="shared" si="1"/>
        <v>5.8131746920250041E-2</v>
      </c>
    </row>
    <row r="10" spans="1:14" x14ac:dyDescent="0.2">
      <c r="A10" s="22" t="s">
        <v>49</v>
      </c>
      <c r="B10" s="22" t="s">
        <v>13</v>
      </c>
      <c r="C10" s="22" t="s">
        <v>32</v>
      </c>
      <c r="D10" s="69">
        <f t="shared" si="2"/>
        <v>1.8305404730000002E-2</v>
      </c>
      <c r="E10" s="67">
        <v>1.1876E-3</v>
      </c>
      <c r="F10" s="67">
        <v>8.9104699999999995E-2</v>
      </c>
      <c r="G10" s="67">
        <v>1.3017342000000001</v>
      </c>
      <c r="H10" s="67">
        <v>7.9396999999999992E-3</v>
      </c>
      <c r="I10" s="67">
        <v>3.2558000000000001E-3</v>
      </c>
      <c r="J10" s="67">
        <f t="shared" si="0"/>
        <v>5.7059617944742673E-2</v>
      </c>
      <c r="K10" s="67">
        <v>4.6839000000000004E-3</v>
      </c>
      <c r="L10" s="67">
        <f t="shared" si="1"/>
        <v>6.8439023955635142E-2</v>
      </c>
    </row>
    <row r="11" spans="1:14" x14ac:dyDescent="0.2">
      <c r="A11" s="22" t="s">
        <v>50</v>
      </c>
      <c r="B11" s="22" t="s">
        <v>12</v>
      </c>
      <c r="C11" s="22" t="s">
        <v>33</v>
      </c>
      <c r="D11" s="69">
        <f t="shared" si="2"/>
        <v>1.525913573E-2</v>
      </c>
      <c r="E11" s="67">
        <v>1.3401999999999999E-3</v>
      </c>
      <c r="F11" s="67">
        <v>7.0233599999999993E-2</v>
      </c>
      <c r="G11" s="67">
        <v>1.0584742</v>
      </c>
      <c r="H11" s="67">
        <v>4.9328000000000002E-3</v>
      </c>
      <c r="I11" s="67">
        <v>2.1526000000000002E-3</v>
      </c>
      <c r="J11" s="67">
        <f t="shared" si="0"/>
        <v>4.6396120527475139E-2</v>
      </c>
      <c r="K11" s="67">
        <v>2.7801000000000002E-3</v>
      </c>
      <c r="L11" s="67">
        <f t="shared" si="1"/>
        <v>5.2726653601380777E-2</v>
      </c>
    </row>
    <row r="12" spans="1:14" s="73" customFormat="1" x14ac:dyDescent="0.2">
      <c r="A12" s="90" t="s">
        <v>51</v>
      </c>
      <c r="B12" s="90" t="s">
        <v>13</v>
      </c>
      <c r="C12" s="90" t="s">
        <v>34</v>
      </c>
      <c r="D12" s="91">
        <f t="shared" si="2"/>
        <v>6.3790847750000001E-3</v>
      </c>
      <c r="E12" s="92">
        <v>-1.884E-4</v>
      </c>
      <c r="F12" s="92">
        <v>7.1231100000000006E-2</v>
      </c>
      <c r="G12" s="92">
        <v>0.4994285</v>
      </c>
      <c r="H12" s="92">
        <v>5.0739000000000001E-3</v>
      </c>
      <c r="I12" s="92">
        <v>4.7919999999999999E-4</v>
      </c>
      <c r="J12" s="92">
        <f t="shared" si="0"/>
        <v>2.1890637268019403E-2</v>
      </c>
      <c r="K12" s="92">
        <v>4.5945999999999999E-3</v>
      </c>
      <c r="L12" s="92">
        <f t="shared" si="1"/>
        <v>6.7783478813055908E-2</v>
      </c>
    </row>
    <row r="13" spans="1:14" x14ac:dyDescent="0.2">
      <c r="A13" s="90" t="s">
        <v>52</v>
      </c>
      <c r="B13" s="90" t="s">
        <v>45</v>
      </c>
      <c r="C13" s="90" t="s">
        <v>35</v>
      </c>
      <c r="D13" s="91">
        <f t="shared" si="2"/>
        <v>1.6018254629999999E-2</v>
      </c>
      <c r="E13" s="92">
        <v>1.583E-4</v>
      </c>
      <c r="F13" s="92">
        <v>7.3631000000000002E-2</v>
      </c>
      <c r="G13" s="92">
        <v>1.2060801999999999</v>
      </c>
      <c r="H13" s="92">
        <v>5.4215000000000001E-3</v>
      </c>
      <c r="I13" s="92">
        <v>2.7948999999999999E-3</v>
      </c>
      <c r="J13" s="92">
        <f t="shared" si="0"/>
        <v>5.2866813787100883E-2</v>
      </c>
      <c r="K13" s="92">
        <v>2.6266000000000002E-3</v>
      </c>
      <c r="L13" s="92">
        <f t="shared" si="1"/>
        <v>5.1250365852352708E-2</v>
      </c>
      <c r="N13" s="14">
        <f>AVERAGE(E6:E25)</f>
        <v>9.5101500000000004E-4</v>
      </c>
    </row>
    <row r="14" spans="1:14" x14ac:dyDescent="0.2">
      <c r="A14" s="90" t="s">
        <v>53</v>
      </c>
      <c r="B14" s="90" t="s">
        <v>14</v>
      </c>
      <c r="C14" s="90" t="s">
        <v>36</v>
      </c>
      <c r="D14" s="91">
        <f t="shared" si="2"/>
        <v>1.3734535145000001E-2</v>
      </c>
      <c r="E14" s="92">
        <v>6.6279999999999996E-4</v>
      </c>
      <c r="F14" s="92">
        <v>7.1069800000000002E-2</v>
      </c>
      <c r="G14" s="92">
        <v>0.9940483</v>
      </c>
      <c r="H14" s="92">
        <v>5.0508999999999997E-3</v>
      </c>
      <c r="I14" s="92">
        <v>1.8986000000000001E-3</v>
      </c>
      <c r="J14" s="92">
        <f t="shared" si="0"/>
        <v>4.3572927374689895E-2</v>
      </c>
      <c r="K14" s="92">
        <v>3.1522999999999998E-3</v>
      </c>
      <c r="L14" s="92">
        <f t="shared" si="1"/>
        <v>5.6145347091277296E-2</v>
      </c>
    </row>
    <row r="15" spans="1:14" x14ac:dyDescent="0.2">
      <c r="A15" s="90" t="s">
        <v>15</v>
      </c>
      <c r="B15" s="90" t="s">
        <v>13</v>
      </c>
      <c r="C15" s="90" t="s">
        <v>16</v>
      </c>
      <c r="D15" s="91">
        <f t="shared" si="2"/>
        <v>5.8967065149999999E-3</v>
      </c>
      <c r="E15" s="92">
        <v>3.21E-4</v>
      </c>
      <c r="F15" s="92">
        <v>4.0202000000000002E-2</v>
      </c>
      <c r="G15" s="92">
        <v>0.4240081</v>
      </c>
      <c r="H15" s="92">
        <v>1.6161999999999999E-3</v>
      </c>
      <c r="I15" s="92">
        <v>3.4539999999999999E-4</v>
      </c>
      <c r="J15" s="92">
        <f t="shared" si="0"/>
        <v>1.8584940139801366E-2</v>
      </c>
      <c r="K15" s="92">
        <v>1.2708000000000001E-3</v>
      </c>
      <c r="L15" s="92">
        <f t="shared" si="1"/>
        <v>3.5648281866031077E-2</v>
      </c>
    </row>
    <row r="16" spans="1:14" s="73" customFormat="1" x14ac:dyDescent="0.2">
      <c r="A16" s="90" t="s">
        <v>54</v>
      </c>
      <c r="B16" s="90" t="s">
        <v>13</v>
      </c>
      <c r="C16" s="90" t="s">
        <v>37</v>
      </c>
      <c r="D16" s="91">
        <f t="shared" si="2"/>
        <v>1.5312616075E-2</v>
      </c>
      <c r="E16" s="92">
        <v>-1.5211000000000001E-3</v>
      </c>
      <c r="F16" s="92">
        <v>7.9244899999999993E-2</v>
      </c>
      <c r="G16" s="92">
        <v>1.2801305000000001</v>
      </c>
      <c r="H16" s="92">
        <v>6.2798000000000003E-3</v>
      </c>
      <c r="I16" s="92">
        <v>3.1486000000000001E-3</v>
      </c>
      <c r="J16" s="92">
        <f t="shared" si="0"/>
        <v>5.6112387224212801E-2</v>
      </c>
      <c r="K16" s="92">
        <v>4.2253999999999998E-3</v>
      </c>
      <c r="L16" s="92">
        <f t="shared" si="1"/>
        <v>6.5003076850253791E-2</v>
      </c>
    </row>
    <row r="17" spans="1:12" x14ac:dyDescent="0.2">
      <c r="A17" s="90" t="s">
        <v>55</v>
      </c>
      <c r="B17" s="90" t="s">
        <v>8</v>
      </c>
      <c r="C17" s="90" t="s">
        <v>17</v>
      </c>
      <c r="D17" s="91">
        <f t="shared" si="2"/>
        <v>2.1899618125000003E-2</v>
      </c>
      <c r="E17" s="92">
        <v>5.2380000000000005E-4</v>
      </c>
      <c r="F17" s="92">
        <v>0.1024712</v>
      </c>
      <c r="G17" s="92">
        <v>1.6255375000000001</v>
      </c>
      <c r="H17" s="92">
        <v>1.05004E-2</v>
      </c>
      <c r="I17" s="92">
        <v>5.0769999999999999E-3</v>
      </c>
      <c r="J17" s="92">
        <f t="shared" si="0"/>
        <v>7.1253070109294242E-2</v>
      </c>
      <c r="K17" s="92">
        <v>5.4234000000000001E-3</v>
      </c>
      <c r="L17" s="92">
        <f t="shared" si="1"/>
        <v>7.3643737004581725E-2</v>
      </c>
    </row>
    <row r="18" spans="1:12" x14ac:dyDescent="0.2">
      <c r="A18" s="90" t="s">
        <v>56</v>
      </c>
      <c r="B18" s="90" t="s">
        <v>14</v>
      </c>
      <c r="C18" s="90" t="s">
        <v>38</v>
      </c>
      <c r="D18" s="91">
        <f t="shared" si="2"/>
        <v>1.1790927895000001E-2</v>
      </c>
      <c r="E18" s="92">
        <v>2.0516000000000002E-3</v>
      </c>
      <c r="F18" s="92">
        <v>6.4780900000000002E-2</v>
      </c>
      <c r="G18" s="92">
        <v>0.74063330000000005</v>
      </c>
      <c r="H18" s="92">
        <v>4.1966E-3</v>
      </c>
      <c r="I18" s="92">
        <v>1.0539E-3</v>
      </c>
      <c r="J18" s="92">
        <f t="shared" si="0"/>
        <v>3.2463826022205086E-2</v>
      </c>
      <c r="K18" s="92">
        <v>3.1426000000000002E-3</v>
      </c>
      <c r="L18" s="92">
        <f t="shared" si="1"/>
        <v>5.6058897598864718E-2</v>
      </c>
    </row>
    <row r="19" spans="1:12" s="73" customFormat="1" x14ac:dyDescent="0.2">
      <c r="A19" s="90" t="s">
        <v>57</v>
      </c>
      <c r="B19" s="90" t="s">
        <v>13</v>
      </c>
      <c r="C19" s="90" t="s">
        <v>39</v>
      </c>
      <c r="D19" s="91">
        <f t="shared" si="2"/>
        <v>9.2177631799999996E-3</v>
      </c>
      <c r="E19" s="92">
        <v>-3.2483999999999998E-3</v>
      </c>
      <c r="F19" s="92">
        <v>7.6914800000000005E-2</v>
      </c>
      <c r="G19" s="92">
        <v>0.94799719999999998</v>
      </c>
      <c r="H19" s="92">
        <v>5.9159E-3</v>
      </c>
      <c r="I19" s="92">
        <v>1.7267000000000001E-3</v>
      </c>
      <c r="J19" s="92">
        <f t="shared" si="0"/>
        <v>4.1553579869849963E-2</v>
      </c>
      <c r="K19" s="92">
        <v>4.1891000000000003E-3</v>
      </c>
      <c r="L19" s="92">
        <f t="shared" si="1"/>
        <v>6.4723257025585484E-2</v>
      </c>
    </row>
    <row r="20" spans="1:12" s="73" customFormat="1" x14ac:dyDescent="0.2">
      <c r="A20" s="90" t="s">
        <v>58</v>
      </c>
      <c r="B20" s="90" t="s">
        <v>13</v>
      </c>
      <c r="C20" s="90" t="s">
        <v>40</v>
      </c>
      <c r="D20" s="91">
        <f t="shared" si="2"/>
        <v>1.4227500755000002E-2</v>
      </c>
      <c r="E20" s="92">
        <v>-8.2580000000000001E-4</v>
      </c>
      <c r="F20" s="92">
        <v>8.6482199999999995E-2</v>
      </c>
      <c r="G20" s="92">
        <v>1.1447377000000001</v>
      </c>
      <c r="H20" s="92">
        <v>7.4792000000000001E-3</v>
      </c>
      <c r="I20" s="92">
        <v>2.5178000000000002E-3</v>
      </c>
      <c r="J20" s="92">
        <f t="shared" si="0"/>
        <v>5.0177684282955909E-2</v>
      </c>
      <c r="K20" s="92">
        <v>2.2913E-3</v>
      </c>
      <c r="L20" s="92">
        <f t="shared" si="1"/>
        <v>4.7867525526185284E-2</v>
      </c>
    </row>
    <row r="21" spans="1:12" x14ac:dyDescent="0.2">
      <c r="A21" s="90" t="s">
        <v>59</v>
      </c>
      <c r="B21" s="90" t="s">
        <v>6</v>
      </c>
      <c r="C21" s="90" t="s">
        <v>41</v>
      </c>
      <c r="D21" s="91">
        <f t="shared" si="2"/>
        <v>1.192240428E-2</v>
      </c>
      <c r="E21" s="92">
        <v>1.8220000000000001E-4</v>
      </c>
      <c r="F21" s="92">
        <v>7.9273399999999994E-2</v>
      </c>
      <c r="G21" s="92">
        <v>0.89279120000000001</v>
      </c>
      <c r="H21" s="92">
        <v>6.2842999999999996E-3</v>
      </c>
      <c r="I21" s="92">
        <v>1.5315000000000001E-3</v>
      </c>
      <c r="J21" s="92">
        <f t="shared" si="0"/>
        <v>3.9134383858698989E-2</v>
      </c>
      <c r="K21" s="92">
        <v>4.7527999999999997E-3</v>
      </c>
      <c r="L21" s="92">
        <f t="shared" si="1"/>
        <v>6.8940554102792068E-2</v>
      </c>
    </row>
    <row r="22" spans="1:12" x14ac:dyDescent="0.2">
      <c r="A22" s="90" t="s">
        <v>60</v>
      </c>
      <c r="B22" s="90" t="s">
        <v>13</v>
      </c>
      <c r="C22" s="90" t="s">
        <v>42</v>
      </c>
      <c r="D22" s="91">
        <f t="shared" si="2"/>
        <v>1.4323473680000001E-2</v>
      </c>
      <c r="E22" s="92">
        <v>3.4001999999999999E-3</v>
      </c>
      <c r="F22" s="92">
        <v>0.1039619</v>
      </c>
      <c r="G22" s="92">
        <v>0.83066720000000005</v>
      </c>
      <c r="H22" s="92">
        <v>1.0808099999999999E-2</v>
      </c>
      <c r="I22" s="92">
        <v>1.3258E-3</v>
      </c>
      <c r="J22" s="92">
        <f t="shared" si="0"/>
        <v>3.6411536633325435E-2</v>
      </c>
      <c r="K22" s="92">
        <v>9.4823000000000008E-3</v>
      </c>
      <c r="L22" s="92">
        <f t="shared" si="1"/>
        <v>9.7377102031227042E-2</v>
      </c>
    </row>
    <row r="23" spans="1:12" s="76" customFormat="1" x14ac:dyDescent="0.2">
      <c r="A23" s="90" t="s">
        <v>61</v>
      </c>
      <c r="B23" s="90" t="s">
        <v>11</v>
      </c>
      <c r="C23" s="90" t="s">
        <v>18</v>
      </c>
      <c r="D23" s="91">
        <f t="shared" si="2"/>
        <v>9.1555410449999999E-3</v>
      </c>
      <c r="E23" s="92">
        <v>2.6773999999999999E-3</v>
      </c>
      <c r="F23" s="92">
        <v>4.65099E-2</v>
      </c>
      <c r="G23" s="92">
        <v>0.49263430000000002</v>
      </c>
      <c r="H23" s="92">
        <v>2.1632000000000001E-3</v>
      </c>
      <c r="I23" s="92">
        <v>4.663E-4</v>
      </c>
      <c r="J23" s="92">
        <f t="shared" si="0"/>
        <v>2.1593980642762464E-2</v>
      </c>
      <c r="K23" s="92">
        <v>1.6969000000000001E-3</v>
      </c>
      <c r="L23" s="92">
        <f t="shared" si="1"/>
        <v>4.1193446080657052E-2</v>
      </c>
    </row>
    <row r="24" spans="1:12" x14ac:dyDescent="0.2">
      <c r="A24" s="90" t="s">
        <v>62</v>
      </c>
      <c r="B24" s="90" t="s">
        <v>12</v>
      </c>
      <c r="C24" s="90" t="s">
        <v>43</v>
      </c>
      <c r="D24" s="91">
        <f t="shared" si="2"/>
        <v>1.4576972625E-2</v>
      </c>
      <c r="E24" s="92">
        <v>1.5326000000000001E-3</v>
      </c>
      <c r="F24" s="92">
        <v>8.1392999999999993E-2</v>
      </c>
      <c r="G24" s="92">
        <v>0.9919675</v>
      </c>
      <c r="H24" s="92">
        <v>6.6248000000000001E-3</v>
      </c>
      <c r="I24" s="92">
        <v>1.8906000000000001E-3</v>
      </c>
      <c r="J24" s="92">
        <f t="shared" si="0"/>
        <v>4.3481030346577576E-2</v>
      </c>
      <c r="K24" s="92">
        <v>4.7342E-3</v>
      </c>
      <c r="L24" s="92">
        <f t="shared" si="1"/>
        <v>6.8805523034128596E-2</v>
      </c>
    </row>
    <row r="25" spans="1:12" x14ac:dyDescent="0.2">
      <c r="A25" s="90" t="s">
        <v>63</v>
      </c>
      <c r="B25" s="90" t="s">
        <v>13</v>
      </c>
      <c r="C25" s="90" t="s">
        <v>44</v>
      </c>
      <c r="D25" s="91">
        <f t="shared" si="2"/>
        <v>9.1865377549999998E-3</v>
      </c>
      <c r="E25" s="92">
        <v>3.1399999999999999E-4</v>
      </c>
      <c r="F25" s="92">
        <v>6.1430100000000001E-2</v>
      </c>
      <c r="G25" s="92">
        <v>0.67471769999999998</v>
      </c>
      <c r="H25" s="92">
        <v>3.7737000000000001E-3</v>
      </c>
      <c r="I25" s="92">
        <v>8.7469999999999996E-4</v>
      </c>
      <c r="J25" s="92">
        <f t="shared" si="0"/>
        <v>2.9575327555244422E-2</v>
      </c>
      <c r="K25" s="92">
        <v>2.8990000000000001E-3</v>
      </c>
      <c r="L25" s="92">
        <f t="shared" si="1"/>
        <v>5.3842362503887214E-2</v>
      </c>
    </row>
    <row r="26" spans="1:12" x14ac:dyDescent="0.2">
      <c r="A26" s="23" t="s">
        <v>68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7" x14ac:dyDescent="0.2">
      <c r="A27" s="25"/>
      <c r="B27" s="29" t="s">
        <v>76</v>
      </c>
      <c r="C27" s="30" t="s">
        <v>77</v>
      </c>
      <c r="D27" s="29" t="s">
        <v>78</v>
      </c>
      <c r="E27" s="29" t="s">
        <v>79</v>
      </c>
      <c r="F27" s="31" t="s">
        <v>80</v>
      </c>
      <c r="G27" s="29" t="s">
        <v>108</v>
      </c>
      <c r="H27" s="32" t="s">
        <v>81</v>
      </c>
      <c r="I27" s="26" t="s">
        <v>72</v>
      </c>
      <c r="J27" s="26" t="s">
        <v>73</v>
      </c>
      <c r="K27" s="33" t="s">
        <v>74</v>
      </c>
      <c r="L27" s="33" t="s">
        <v>86</v>
      </c>
    </row>
    <row r="28" spans="1:12" x14ac:dyDescent="0.2">
      <c r="A28" s="28" t="s">
        <v>70</v>
      </c>
      <c r="B28" s="35"/>
      <c r="C28" s="36"/>
      <c r="D28" s="37"/>
      <c r="E28" s="37"/>
      <c r="F28" s="38"/>
      <c r="G28" s="39">
        <v>1</v>
      </c>
      <c r="H28" s="55">
        <f>1-H29</f>
        <v>0.10310418359677453</v>
      </c>
      <c r="I28" s="40">
        <f>D4</f>
        <v>1.315E-2</v>
      </c>
      <c r="J28" s="40">
        <f>F4</f>
        <v>4.3833499999999997E-2</v>
      </c>
      <c r="K28" s="57">
        <f>I28/J28</f>
        <v>0.29999885931992654</v>
      </c>
      <c r="L28" s="48"/>
    </row>
    <row r="29" spans="1:12" x14ac:dyDescent="0.2">
      <c r="A29" s="27" t="s">
        <v>71</v>
      </c>
      <c r="B29" s="41">
        <f>SUM(B30:B49)</f>
        <v>6.5444589537370907</v>
      </c>
      <c r="C29" s="42">
        <f>SUM(C30:C49)</f>
        <v>0.99999999999999967</v>
      </c>
      <c r="D29" s="43" cm="1">
        <f t="array" ref="D29">MMULT(TRANSPOSE(E6:E25),C30:C49)</f>
        <v>3.4351008476490833E-3</v>
      </c>
      <c r="E29" s="44" cm="1">
        <f t="array" ref="E29">MMULT(TRANSPOSE(K6:K25),C30:C49^2)</f>
        <v>5.2488691149747875E-4</v>
      </c>
      <c r="F29" s="41">
        <f>(D29/E29)/(D4/F4^2)</f>
        <v>0.95622544098647011</v>
      </c>
      <c r="G29" s="45" cm="1">
        <f t="array" ref="G29">MMULT(TRANSPOSE(G6:G25),C30:C49)</f>
        <v>0.93082179199381399</v>
      </c>
      <c r="H29" s="46">
        <f>F29/(1+(1-G29)*F29)</f>
        <v>0.89689581640322547</v>
      </c>
      <c r="I29" s="45" cm="1">
        <f t="array" ref="I29">MMULT(TRANSPOSE(D6:D25),C30:C49)</f>
        <v>1.5675407412367736E-2</v>
      </c>
      <c r="J29" s="45">
        <f>SQRT(G29^2*F4^2+E29)</f>
        <v>4.6793407202967152E-2</v>
      </c>
      <c r="K29" s="57">
        <f>I29/J29</f>
        <v>0.33499179370237792</v>
      </c>
      <c r="L29" s="83">
        <f>D29/SQRT(E29)</f>
        <v>0.14993624144744633</v>
      </c>
    </row>
    <row r="30" spans="1:12" x14ac:dyDescent="0.2">
      <c r="A30" s="22" t="s">
        <v>30</v>
      </c>
      <c r="B30" s="24">
        <f>E6/K6</f>
        <v>1.452549932131084</v>
      </c>
      <c r="C30" s="24">
        <f>B30/$B$29</f>
        <v>0.22195111045835691</v>
      </c>
      <c r="D30" s="47"/>
      <c r="E30" s="47"/>
      <c r="F30" s="47"/>
      <c r="G30" s="48"/>
      <c r="H30" s="24">
        <f t="shared" ref="H30:H49" si="3">$H$29*C30</f>
        <v>0.19906702241615049</v>
      </c>
      <c r="I30" s="48"/>
      <c r="J30" s="48"/>
      <c r="K30" s="48"/>
      <c r="L30" s="48"/>
    </row>
    <row r="31" spans="1:12" x14ac:dyDescent="0.2">
      <c r="A31" s="22" t="s">
        <v>9</v>
      </c>
      <c r="B31" s="24">
        <f t="shared" ref="B31:B49" si="4">E7/K7</f>
        <v>1.021584976233149</v>
      </c>
      <c r="C31" s="24">
        <f t="shared" ref="C31:C49" si="5">B31/$B$29</f>
        <v>0.15609922584200669</v>
      </c>
      <c r="D31" s="47"/>
      <c r="E31" s="47"/>
      <c r="F31" s="47"/>
      <c r="G31" s="48"/>
      <c r="H31" s="24">
        <f t="shared" si="3"/>
        <v>0.14000474260147808</v>
      </c>
      <c r="I31" s="48"/>
      <c r="J31" s="48"/>
      <c r="K31" s="48"/>
      <c r="L31" s="48"/>
    </row>
    <row r="32" spans="1:12" x14ac:dyDescent="0.2">
      <c r="A32" s="22" t="s">
        <v>10</v>
      </c>
      <c r="B32" s="24">
        <f t="shared" si="4"/>
        <v>0.55952175662470538</v>
      </c>
      <c r="C32" s="24">
        <f t="shared" si="5"/>
        <v>8.5495494826994214E-2</v>
      </c>
      <c r="D32" s="47"/>
      <c r="E32" s="47"/>
      <c r="F32" s="47"/>
      <c r="G32" s="48"/>
      <c r="H32" s="24">
        <f t="shared" si="3"/>
        <v>7.6680551631654714E-2</v>
      </c>
      <c r="I32" s="48"/>
      <c r="J32" s="48"/>
      <c r="K32" s="48"/>
      <c r="L32" s="48"/>
    </row>
    <row r="33" spans="1:12" x14ac:dyDescent="0.2">
      <c r="A33" s="22" t="s">
        <v>31</v>
      </c>
      <c r="B33" s="24">
        <f t="shared" si="4"/>
        <v>0.63270499807652469</v>
      </c>
      <c r="C33" s="24">
        <f t="shared" si="5"/>
        <v>9.6677968728832858E-2</v>
      </c>
      <c r="D33" s="47"/>
      <c r="E33" s="47"/>
      <c r="F33" s="47"/>
      <c r="G33" s="48"/>
      <c r="H33" s="24">
        <f t="shared" si="3"/>
        <v>8.6710065691252045E-2</v>
      </c>
      <c r="I33" s="48"/>
      <c r="J33" s="48"/>
      <c r="K33" s="48"/>
      <c r="L33" s="48"/>
    </row>
    <row r="34" spans="1:12" x14ac:dyDescent="0.2">
      <c r="A34" s="22" t="s">
        <v>32</v>
      </c>
      <c r="B34" s="24">
        <f t="shared" si="4"/>
        <v>0.25354939260018361</v>
      </c>
      <c r="C34" s="24">
        <f t="shared" si="5"/>
        <v>3.874260567489677E-2</v>
      </c>
      <c r="D34" s="47"/>
      <c r="E34" s="47"/>
      <c r="F34" s="47"/>
      <c r="G34" s="48"/>
      <c r="H34" s="24">
        <f t="shared" si="3"/>
        <v>3.4748080946374771E-2</v>
      </c>
      <c r="I34" s="48"/>
      <c r="J34" s="48"/>
      <c r="K34" s="48"/>
      <c r="L34" s="48"/>
    </row>
    <row r="35" spans="1:12" x14ac:dyDescent="0.2">
      <c r="A35" s="22" t="s">
        <v>33</v>
      </c>
      <c r="B35" s="24">
        <f t="shared" si="4"/>
        <v>0.48206899032408901</v>
      </c>
      <c r="C35" s="24">
        <f t="shared" si="5"/>
        <v>7.3660633175613777E-2</v>
      </c>
      <c r="D35" s="47"/>
      <c r="E35" s="47"/>
      <c r="F35" s="47"/>
      <c r="G35" s="48"/>
      <c r="H35" s="24">
        <f t="shared" si="3"/>
        <v>6.6065913728820633E-2</v>
      </c>
      <c r="I35" s="48"/>
      <c r="J35" s="48"/>
      <c r="K35" s="48"/>
      <c r="L35" s="48"/>
    </row>
    <row r="36" spans="1:12" x14ac:dyDescent="0.2">
      <c r="A36" s="22" t="s">
        <v>34</v>
      </c>
      <c r="B36" s="24">
        <f t="shared" si="4"/>
        <v>-4.1004657641579248E-2</v>
      </c>
      <c r="C36" s="24">
        <f t="shared" si="5"/>
        <v>-6.2655534905852383E-3</v>
      </c>
      <c r="D36" s="47"/>
      <c r="E36" s="47"/>
      <c r="F36" s="47"/>
      <c r="G36" s="48"/>
      <c r="H36" s="24">
        <f t="shared" si="3"/>
        <v>-5.6195487131565263E-3</v>
      </c>
      <c r="I36" s="48"/>
      <c r="J36" s="48"/>
      <c r="K36" s="48"/>
      <c r="L36" s="48"/>
    </row>
    <row r="37" spans="1:12" x14ac:dyDescent="0.2">
      <c r="A37" s="22" t="s">
        <v>35</v>
      </c>
      <c r="B37" s="24">
        <f t="shared" si="4"/>
        <v>6.026802710728698E-2</v>
      </c>
      <c r="C37" s="24">
        <f t="shared" si="5"/>
        <v>9.2090159833414578E-3</v>
      </c>
      <c r="D37" s="47"/>
      <c r="E37" s="47"/>
      <c r="F37" s="47"/>
      <c r="G37" s="48"/>
      <c r="H37" s="24">
        <f t="shared" si="3"/>
        <v>8.2595279086493893E-3</v>
      </c>
      <c r="I37" s="48"/>
      <c r="J37" s="48"/>
      <c r="K37" s="48"/>
      <c r="L37" s="48"/>
    </row>
    <row r="38" spans="1:12" x14ac:dyDescent="0.2">
      <c r="A38" s="22" t="s">
        <v>36</v>
      </c>
      <c r="B38" s="24">
        <f t="shared" si="4"/>
        <v>0.21025917583986295</v>
      </c>
      <c r="C38" s="24">
        <f t="shared" si="5"/>
        <v>3.2127816420912593E-2</v>
      </c>
      <c r="D38" s="47"/>
      <c r="E38" s="47"/>
      <c r="F38" s="47"/>
      <c r="G38" s="48"/>
      <c r="H38" s="24">
        <f t="shared" si="3"/>
        <v>2.8815304138087354E-2</v>
      </c>
      <c r="I38" s="48"/>
      <c r="J38" s="48"/>
      <c r="K38" s="48"/>
      <c r="L38" s="48"/>
    </row>
    <row r="39" spans="1:12" x14ac:dyDescent="0.2">
      <c r="A39" s="22" t="s">
        <v>16</v>
      </c>
      <c r="B39" s="24">
        <f t="shared" si="4"/>
        <v>0.25259678942398489</v>
      </c>
      <c r="C39" s="24">
        <f t="shared" si="5"/>
        <v>3.8597046938424792E-2</v>
      </c>
      <c r="D39" s="47"/>
      <c r="E39" s="47"/>
      <c r="F39" s="47"/>
      <c r="G39" s="48"/>
      <c r="H39" s="24">
        <f t="shared" si="3"/>
        <v>3.4617529924592119E-2</v>
      </c>
      <c r="I39" s="48"/>
      <c r="J39" s="48"/>
      <c r="K39" s="48"/>
      <c r="L39" s="48"/>
    </row>
    <row r="40" spans="1:12" x14ac:dyDescent="0.2">
      <c r="A40" s="22" t="s">
        <v>37</v>
      </c>
      <c r="B40" s="24">
        <f t="shared" si="4"/>
        <v>-0.35998958678468312</v>
      </c>
      <c r="C40" s="24">
        <f t="shared" si="5"/>
        <v>-5.5006775858700716E-2</v>
      </c>
      <c r="D40" s="47"/>
      <c r="E40" s="47"/>
      <c r="F40" s="47"/>
      <c r="G40" s="48"/>
      <c r="H40" s="24">
        <f t="shared" si="3"/>
        <v>-4.9335347141498613E-2</v>
      </c>
      <c r="I40" s="48"/>
      <c r="J40" s="48"/>
      <c r="K40" s="48"/>
      <c r="L40" s="48"/>
    </row>
    <row r="41" spans="1:12" x14ac:dyDescent="0.2">
      <c r="A41" s="22" t="s">
        <v>17</v>
      </c>
      <c r="B41" s="24">
        <f t="shared" si="4"/>
        <v>9.6581480252240295E-2</v>
      </c>
      <c r="C41" s="24">
        <f t="shared" si="5"/>
        <v>1.4757748644307601E-2</v>
      </c>
      <c r="D41" s="47"/>
      <c r="E41" s="47"/>
      <c r="F41" s="47"/>
      <c r="G41" s="48"/>
      <c r="H41" s="24">
        <f t="shared" si="3"/>
        <v>1.3236163018609861E-2</v>
      </c>
      <c r="I41" s="48"/>
      <c r="J41" s="48"/>
      <c r="K41" s="48"/>
      <c r="L41" s="48"/>
    </row>
    <row r="42" spans="1:12" x14ac:dyDescent="0.2">
      <c r="A42" s="22" t="s">
        <v>38</v>
      </c>
      <c r="B42" s="24">
        <f t="shared" si="4"/>
        <v>0.65283523197352511</v>
      </c>
      <c r="C42" s="24">
        <f t="shared" si="5"/>
        <v>9.9753888990431486E-2</v>
      </c>
      <c r="D42" s="47"/>
      <c r="E42" s="47"/>
      <c r="F42" s="47"/>
      <c r="G42" s="48"/>
      <c r="H42" s="24">
        <f t="shared" si="3"/>
        <v>8.9468845705469771E-2</v>
      </c>
      <c r="I42" s="48"/>
      <c r="J42" s="48"/>
      <c r="K42" s="48"/>
      <c r="L42" s="48"/>
    </row>
    <row r="43" spans="1:12" x14ac:dyDescent="0.2">
      <c r="A43" s="22" t="s">
        <v>39</v>
      </c>
      <c r="B43" s="24">
        <f t="shared" si="4"/>
        <v>-0.77544102551860772</v>
      </c>
      <c r="C43" s="24">
        <f t="shared" si="5"/>
        <v>-0.11848817923684993</v>
      </c>
      <c r="D43" s="47"/>
      <c r="E43" s="47"/>
      <c r="F43" s="47"/>
      <c r="G43" s="48"/>
      <c r="H43" s="24">
        <f t="shared" si="3"/>
        <v>-0.10627155225076622</v>
      </c>
      <c r="I43" s="48"/>
      <c r="J43" s="48"/>
      <c r="K43" s="48"/>
      <c r="L43" s="48"/>
    </row>
    <row r="44" spans="1:12" x14ac:dyDescent="0.2">
      <c r="A44" s="22" t="s">
        <v>40</v>
      </c>
      <c r="B44" s="24">
        <f t="shared" si="4"/>
        <v>-0.36040675599004934</v>
      </c>
      <c r="C44" s="24">
        <f t="shared" si="5"/>
        <v>-5.5070519738571487E-2</v>
      </c>
      <c r="D44" s="47"/>
      <c r="E44" s="47"/>
      <c r="F44" s="47"/>
      <c r="G44" s="48"/>
      <c r="H44" s="24">
        <f t="shared" si="3"/>
        <v>-4.9392518760676019E-2</v>
      </c>
      <c r="I44" s="48"/>
      <c r="J44" s="48"/>
      <c r="K44" s="48"/>
      <c r="L44" s="48"/>
    </row>
    <row r="45" spans="1:12" x14ac:dyDescent="0.2">
      <c r="A45" s="22" t="s">
        <v>41</v>
      </c>
      <c r="B45" s="24">
        <f t="shared" si="4"/>
        <v>3.8335297088032322E-2</v>
      </c>
      <c r="C45" s="24">
        <f t="shared" si="5"/>
        <v>5.8576724766745874E-3</v>
      </c>
      <c r="D45" s="47"/>
      <c r="E45" s="47"/>
      <c r="F45" s="47"/>
      <c r="G45" s="48"/>
      <c r="H45" s="24">
        <f t="shared" si="3"/>
        <v>5.2537219381897579E-3</v>
      </c>
      <c r="I45" s="48"/>
      <c r="J45" s="48"/>
      <c r="K45" s="48"/>
      <c r="L45" s="48"/>
    </row>
    <row r="46" spans="1:12" x14ac:dyDescent="0.2">
      <c r="A46" s="22" t="s">
        <v>42</v>
      </c>
      <c r="B46" s="24">
        <f t="shared" si="4"/>
        <v>0.35858388787530449</v>
      </c>
      <c r="C46" s="24">
        <f t="shared" si="5"/>
        <v>5.4791983632282062E-2</v>
      </c>
      <c r="D46" s="47"/>
      <c r="E46" s="47"/>
      <c r="F46" s="47"/>
      <c r="G46" s="48"/>
      <c r="H46" s="24">
        <f t="shared" si="3"/>
        <v>4.9142700892227789E-2</v>
      </c>
      <c r="I46" s="48"/>
      <c r="J46" s="48"/>
      <c r="K46" s="48"/>
      <c r="L46" s="48"/>
    </row>
    <row r="47" spans="1:12" x14ac:dyDescent="0.2">
      <c r="A47" s="22" t="s">
        <v>18</v>
      </c>
      <c r="B47" s="24">
        <f t="shared" si="4"/>
        <v>1.5778183746832457</v>
      </c>
      <c r="C47" s="24">
        <f t="shared" si="5"/>
        <v>0.24109225618754351</v>
      </c>
      <c r="D47" s="47"/>
      <c r="E47" s="47"/>
      <c r="F47" s="47"/>
      <c r="G47" s="48"/>
      <c r="H47" s="24">
        <f t="shared" si="3"/>
        <v>0.21623463594182243</v>
      </c>
      <c r="I47" s="48"/>
      <c r="J47" s="48"/>
      <c r="K47" s="48"/>
      <c r="L47" s="48"/>
    </row>
    <row r="48" spans="1:12" x14ac:dyDescent="0.2">
      <c r="A48" s="22" t="s">
        <v>43</v>
      </c>
      <c r="B48" s="24">
        <f t="shared" si="4"/>
        <v>0.32372945798656583</v>
      </c>
      <c r="C48" s="24">
        <f t="shared" si="5"/>
        <v>4.9466191212293599E-2</v>
      </c>
      <c r="D48" s="47"/>
      <c r="E48" s="47"/>
      <c r="F48" s="47"/>
      <c r="G48" s="48"/>
      <c r="H48" s="24">
        <f t="shared" si="3"/>
        <v>4.4366019951708122E-2</v>
      </c>
      <c r="I48" s="48"/>
      <c r="J48" s="48"/>
      <c r="K48" s="48"/>
      <c r="L48" s="48"/>
    </row>
    <row r="49" spans="1:12" x14ac:dyDescent="0.2">
      <c r="A49" s="22" t="s">
        <v>44</v>
      </c>
      <c r="B49" s="24">
        <f t="shared" si="4"/>
        <v>0.1083132114522249</v>
      </c>
      <c r="C49" s="24">
        <f t="shared" si="5"/>
        <v>1.6550369131794258E-2</v>
      </c>
      <c r="D49" s="47"/>
      <c r="E49" s="47"/>
      <c r="F49" s="47"/>
      <c r="G49" s="49"/>
      <c r="H49" s="24">
        <f t="shared" si="3"/>
        <v>1.4843956834235353E-2</v>
      </c>
      <c r="I49" s="49"/>
      <c r="J49" s="49"/>
      <c r="K49" s="49"/>
      <c r="L49" s="49"/>
    </row>
    <row r="50" spans="1:12" x14ac:dyDescent="0.2">
      <c r="A50" s="34" t="s">
        <v>75</v>
      </c>
      <c r="B50" s="50"/>
      <c r="C50" s="51"/>
      <c r="D50" s="51"/>
      <c r="E50" s="51"/>
      <c r="F50" s="52"/>
      <c r="G50" s="53">
        <f>G28*H28+G29*H29</f>
        <v>0.9379543546529796</v>
      </c>
      <c r="H50" s="58"/>
      <c r="I50" s="54">
        <f>I28*H28+I29*H29</f>
        <v>1.5415027342866316E-2</v>
      </c>
      <c r="J50" s="54">
        <f>SQRT((H28+H29*G29)^2*F4^2+H29^2*E29)</f>
        <v>4.5962778536166544E-2</v>
      </c>
      <c r="K50" s="56">
        <f>I50/J50</f>
        <v>0.33538066744021483</v>
      </c>
      <c r="L50" s="56">
        <f>SQRT(K50^2-K28^2)</f>
        <v>0.14993624144744627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2293-18E0-904D-ADE9-1E1139DD3F46}">
  <dimension ref="A1:N34"/>
  <sheetViews>
    <sheetView workbookViewId="0">
      <selection activeCell="I38" sqref="I38"/>
    </sheetView>
  </sheetViews>
  <sheetFormatPr baseColWidth="10" defaultRowHeight="16" x14ac:dyDescent="0.2"/>
  <cols>
    <col min="1" max="1" width="11.83203125" bestFit="1" customWidth="1"/>
    <col min="2" max="2" width="14.33203125" bestFit="1" customWidth="1"/>
  </cols>
  <sheetData>
    <row r="1" spans="1:5" x14ac:dyDescent="0.2">
      <c r="A1" s="60" t="s">
        <v>84</v>
      </c>
      <c r="B1" s="60" t="s">
        <v>85</v>
      </c>
      <c r="C1" s="59" t="s">
        <v>93</v>
      </c>
      <c r="D1" s="59" t="s">
        <v>94</v>
      </c>
      <c r="E1" s="59" t="s">
        <v>74</v>
      </c>
    </row>
    <row r="2" spans="1:5" x14ac:dyDescent="0.2">
      <c r="A2" s="61" t="s">
        <v>83</v>
      </c>
      <c r="B2" s="62">
        <f>Workings!H28</f>
        <v>0.10310418359677453</v>
      </c>
      <c r="C2" s="59">
        <v>1.2999999999999999E-2</v>
      </c>
      <c r="D2" s="59">
        <v>4.3999999999999997E-2</v>
      </c>
      <c r="E2" s="59">
        <v>0.3</v>
      </c>
    </row>
    <row r="3" spans="1:5" x14ac:dyDescent="0.2">
      <c r="A3" s="61" t="s">
        <v>82</v>
      </c>
      <c r="B3" s="62">
        <f>Workings!H29</f>
        <v>0.89689581640322547</v>
      </c>
      <c r="C3" s="59">
        <v>1.6E-2</v>
      </c>
      <c r="D3" s="59">
        <v>4.7E-2</v>
      </c>
      <c r="E3" s="59">
        <v>0.33500000000000002</v>
      </c>
    </row>
    <row r="4" spans="1:5" x14ac:dyDescent="0.2">
      <c r="A4" s="63" t="str">
        <f>Workings!A30</f>
        <v>AMZN</v>
      </c>
      <c r="B4" s="64">
        <f>Workings!H30</f>
        <v>0.19906702241615049</v>
      </c>
      <c r="C4" s="59"/>
      <c r="D4" s="59"/>
      <c r="E4" s="59"/>
    </row>
    <row r="5" spans="1:5" x14ac:dyDescent="0.2">
      <c r="A5" s="63" t="str">
        <f>Workings!A31</f>
        <v>AAPL</v>
      </c>
      <c r="B5" s="64">
        <f>Workings!H31</f>
        <v>0.14000474260147808</v>
      </c>
      <c r="C5" s="59"/>
      <c r="D5" s="59"/>
      <c r="E5" s="59"/>
    </row>
    <row r="6" spans="1:5" x14ac:dyDescent="0.2">
      <c r="A6" s="63" t="str">
        <f>Workings!A32</f>
        <v>BA</v>
      </c>
      <c r="B6" s="64">
        <f>Workings!H32</f>
        <v>7.6680551631654714E-2</v>
      </c>
      <c r="C6" s="59"/>
      <c r="D6" s="59"/>
      <c r="E6" s="59"/>
    </row>
    <row r="7" spans="1:5" x14ac:dyDescent="0.2">
      <c r="A7" s="63" t="str">
        <f>Workings!A33</f>
        <v>CAKE</v>
      </c>
      <c r="B7" s="64">
        <f>Workings!H33</f>
        <v>8.6710065691252045E-2</v>
      </c>
      <c r="C7" s="59"/>
      <c r="D7" s="59"/>
      <c r="E7" s="59"/>
    </row>
    <row r="8" spans="1:5" x14ac:dyDescent="0.2">
      <c r="A8" s="63" t="str">
        <f>Workings!A34</f>
        <v>EBAY</v>
      </c>
      <c r="B8" s="64">
        <f>Workings!H34</f>
        <v>3.4748080946374771E-2</v>
      </c>
      <c r="C8" s="59"/>
      <c r="D8" s="59"/>
      <c r="E8" s="59"/>
    </row>
    <row r="9" spans="1:5" x14ac:dyDescent="0.2">
      <c r="A9" s="63" t="str">
        <f>Workings!A35</f>
        <v>FB</v>
      </c>
      <c r="B9" s="64">
        <f>Workings!H35</f>
        <v>6.6065913728820633E-2</v>
      </c>
      <c r="C9" s="59"/>
      <c r="D9" s="59"/>
      <c r="E9" s="59"/>
    </row>
    <row r="10" spans="1:5" x14ac:dyDescent="0.2">
      <c r="A10" s="63" t="str">
        <f>Workings!A36</f>
        <v>GME</v>
      </c>
      <c r="B10" s="64">
        <f>Workings!H36</f>
        <v>-5.6195487131565263E-3</v>
      </c>
      <c r="C10" s="59"/>
      <c r="D10" s="59"/>
      <c r="E10" s="59"/>
    </row>
    <row r="11" spans="1:5" x14ac:dyDescent="0.2">
      <c r="A11" s="63" t="str">
        <f>Workings!A37</f>
        <v>GS</v>
      </c>
      <c r="B11" s="64">
        <f>Workings!H37</f>
        <v>8.2595279086493893E-3</v>
      </c>
      <c r="C11" s="59"/>
      <c r="D11" s="59"/>
      <c r="E11" s="59"/>
    </row>
    <row r="12" spans="1:5" x14ac:dyDescent="0.2">
      <c r="A12" s="63" t="str">
        <f>Workings!A38</f>
        <v>ILMN</v>
      </c>
      <c r="B12" s="64">
        <f>Workings!H38</f>
        <v>2.8815304138087354E-2</v>
      </c>
      <c r="C12" s="59"/>
      <c r="D12" s="59"/>
      <c r="E12" s="59"/>
    </row>
    <row r="13" spans="1:5" x14ac:dyDescent="0.2">
      <c r="A13" s="63" t="str">
        <f>Workings!A39</f>
        <v>MCD</v>
      </c>
      <c r="B13" s="64">
        <f>Workings!H39</f>
        <v>3.4617529924592119E-2</v>
      </c>
      <c r="C13" s="59"/>
      <c r="D13" s="59"/>
      <c r="E13" s="59"/>
    </row>
    <row r="14" spans="1:5" x14ac:dyDescent="0.2">
      <c r="A14" s="63" t="str">
        <f>Workings!A40</f>
        <v>MGM</v>
      </c>
      <c r="B14" s="64">
        <f>Workings!H40</f>
        <v>-4.9335347141498613E-2</v>
      </c>
      <c r="C14" s="59"/>
      <c r="D14" s="59"/>
      <c r="E14" s="59"/>
    </row>
    <row r="15" spans="1:5" x14ac:dyDescent="0.2">
      <c r="A15" s="63" t="str">
        <f>Workings!A41</f>
        <v>NVDA</v>
      </c>
      <c r="B15" s="64">
        <f>Workings!H41</f>
        <v>1.3236163018609861E-2</v>
      </c>
      <c r="C15" s="59"/>
      <c r="D15" s="59"/>
      <c r="E15" s="59"/>
    </row>
    <row r="16" spans="1:5" x14ac:dyDescent="0.2">
      <c r="A16" s="63" t="str">
        <f>Workings!A42</f>
        <v>PFE</v>
      </c>
      <c r="B16" s="64">
        <f>Workings!H42</f>
        <v>8.9468845705469771E-2</v>
      </c>
      <c r="C16" s="59"/>
      <c r="D16" s="59"/>
      <c r="E16" s="59"/>
    </row>
    <row r="17" spans="1:14" x14ac:dyDescent="0.2">
      <c r="A17" s="63" t="str">
        <f>Workings!A43</f>
        <v>RL</v>
      </c>
      <c r="B17" s="64">
        <f>Workings!H43</f>
        <v>-0.10627155225076622</v>
      </c>
      <c r="C17" s="59"/>
      <c r="D17" s="59"/>
      <c r="E17" s="59"/>
    </row>
    <row r="18" spans="1:14" x14ac:dyDescent="0.2">
      <c r="A18" s="63" t="str">
        <f>Workings!A44</f>
        <v>RCL</v>
      </c>
      <c r="B18" s="64">
        <f>Workings!H44</f>
        <v>-4.9392518760676019E-2</v>
      </c>
      <c r="C18" s="59"/>
      <c r="D18" s="59"/>
      <c r="E18" s="59"/>
    </row>
    <row r="19" spans="1:14" x14ac:dyDescent="0.2">
      <c r="A19" s="63" t="str">
        <f>Workings!A45</f>
        <v>SAVE</v>
      </c>
      <c r="B19" s="64">
        <f>Workings!H45</f>
        <v>5.2537219381897579E-3</v>
      </c>
      <c r="C19" s="59"/>
      <c r="D19" s="59"/>
      <c r="E19" s="59"/>
    </row>
    <row r="20" spans="1:14" x14ac:dyDescent="0.2">
      <c r="A20" s="63" t="str">
        <f>Workings!A46</f>
        <v>TSLA</v>
      </c>
      <c r="B20" s="64">
        <f>Workings!H46</f>
        <v>4.9142700892227789E-2</v>
      </c>
      <c r="C20" s="59"/>
      <c r="D20" s="59"/>
      <c r="E20" s="59"/>
    </row>
    <row r="21" spans="1:14" x14ac:dyDescent="0.2">
      <c r="A21" s="63" t="str">
        <f>Workings!A47</f>
        <v>WMT</v>
      </c>
      <c r="B21" s="64">
        <f>Workings!H47</f>
        <v>0.21623463594182243</v>
      </c>
      <c r="C21" s="59"/>
      <c r="D21" s="59"/>
      <c r="E21" s="59"/>
    </row>
    <row r="22" spans="1:14" x14ac:dyDescent="0.2">
      <c r="A22" s="65" t="str">
        <f>Workings!A48</f>
        <v>YELP</v>
      </c>
      <c r="B22" s="64">
        <f>Workings!H48</f>
        <v>4.4366019951708122E-2</v>
      </c>
      <c r="C22" s="59"/>
      <c r="D22" s="59"/>
      <c r="E22" s="59"/>
    </row>
    <row r="23" spans="1:14" x14ac:dyDescent="0.2">
      <c r="A23" s="65" t="str">
        <f>Workings!A49</f>
        <v>YUM</v>
      </c>
      <c r="B23" s="64">
        <f>Workings!H49</f>
        <v>1.4843956834235353E-2</v>
      </c>
      <c r="C23" s="59"/>
      <c r="D23" s="59"/>
      <c r="E23" s="59"/>
    </row>
    <row r="24" spans="1:14" x14ac:dyDescent="0.2">
      <c r="B24" s="22"/>
    </row>
    <row r="25" spans="1:14" x14ac:dyDescent="0.2">
      <c r="A25" s="85" t="s">
        <v>75</v>
      </c>
      <c r="B25" s="86"/>
    </row>
    <row r="26" spans="1:14" x14ac:dyDescent="0.2">
      <c r="A26" s="59" t="s">
        <v>87</v>
      </c>
      <c r="B26" s="59" t="s">
        <v>88</v>
      </c>
    </row>
    <row r="27" spans="1:14" x14ac:dyDescent="0.2">
      <c r="A27" s="59" t="s">
        <v>89</v>
      </c>
      <c r="B27" s="66">
        <f>Workings!I50</f>
        <v>1.5415027342866316E-2</v>
      </c>
    </row>
    <row r="28" spans="1:14" x14ac:dyDescent="0.2">
      <c r="A28" s="59" t="s">
        <v>90</v>
      </c>
      <c r="B28" s="66">
        <f>Workings!G50</f>
        <v>0.9379543546529796</v>
      </c>
    </row>
    <row r="29" spans="1:14" x14ac:dyDescent="0.2">
      <c r="A29" s="59" t="s">
        <v>91</v>
      </c>
      <c r="B29" s="66">
        <f>Workings!J50^2</f>
        <v>2.1125770107646921E-3</v>
      </c>
      <c r="C29" s="77"/>
    </row>
    <row r="30" spans="1:14" x14ac:dyDescent="0.2">
      <c r="A30" s="59" t="s">
        <v>92</v>
      </c>
      <c r="B30" s="66">
        <f>SQRT(B29)</f>
        <v>4.5962778536166544E-2</v>
      </c>
      <c r="C30" s="77"/>
    </row>
    <row r="31" spans="1:14" x14ac:dyDescent="0.2">
      <c r="A31" s="59" t="s">
        <v>86</v>
      </c>
      <c r="B31" s="66">
        <f>Workings!L50</f>
        <v>0.14993624144744627</v>
      </c>
    </row>
    <row r="32" spans="1:14" x14ac:dyDescent="0.2">
      <c r="A32" s="59" t="s">
        <v>74</v>
      </c>
      <c r="B32" s="66">
        <f>Workings!K50</f>
        <v>0.33538066744021483</v>
      </c>
      <c r="N32" s="59"/>
    </row>
    <row r="33" spans="14:14" x14ac:dyDescent="0.2">
      <c r="N33" s="59"/>
    </row>
    <row r="34" spans="14:14" x14ac:dyDescent="0.2">
      <c r="N34" s="59"/>
    </row>
  </sheetData>
  <mergeCells count="1">
    <mergeCell ref="A25:B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A9B9-D3C1-B84F-8456-05BC764A3C8E}">
  <dimension ref="A1:C11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1" width="13.33203125" style="78" customWidth="1"/>
    <col min="2" max="2" width="11.83203125" bestFit="1" customWidth="1"/>
    <col min="3" max="3" width="10" bestFit="1" customWidth="1"/>
  </cols>
  <sheetData>
    <row r="1" spans="1:3" x14ac:dyDescent="0.2">
      <c r="A1" s="79" t="s">
        <v>107</v>
      </c>
      <c r="B1" s="28" t="s">
        <v>95</v>
      </c>
      <c r="C1" s="27" t="s">
        <v>96</v>
      </c>
    </row>
    <row r="2" spans="1:3" x14ac:dyDescent="0.2">
      <c r="A2" s="80" t="s">
        <v>98</v>
      </c>
      <c r="B2" s="82"/>
      <c r="C2" s="82">
        <v>6.5444589537370907</v>
      </c>
    </row>
    <row r="3" spans="1:3" x14ac:dyDescent="0.2">
      <c r="A3" s="80" t="s">
        <v>97</v>
      </c>
      <c r="B3" s="82"/>
      <c r="C3" s="82">
        <v>0.99999999999999967</v>
      </c>
    </row>
    <row r="4" spans="1:3" x14ac:dyDescent="0.2">
      <c r="A4" s="80" t="s">
        <v>99</v>
      </c>
      <c r="B4" s="82"/>
      <c r="C4" s="82">
        <v>3.4351008476490833E-3</v>
      </c>
    </row>
    <row r="5" spans="1:3" x14ac:dyDescent="0.2">
      <c r="A5" s="80" t="s">
        <v>100</v>
      </c>
      <c r="B5" s="82"/>
      <c r="C5" s="82">
        <v>5.2488691149747875E-4</v>
      </c>
    </row>
    <row r="6" spans="1:3" x14ac:dyDescent="0.2">
      <c r="A6" s="80" t="s">
        <v>102</v>
      </c>
      <c r="B6" s="82"/>
      <c r="C6" s="82">
        <v>0.95622544098647011</v>
      </c>
    </row>
    <row r="7" spans="1:3" x14ac:dyDescent="0.2">
      <c r="A7" s="80" t="s">
        <v>101</v>
      </c>
      <c r="B7" s="82">
        <v>1</v>
      </c>
      <c r="C7" s="82">
        <v>0.93082179199381399</v>
      </c>
    </row>
    <row r="8" spans="1:3" x14ac:dyDescent="0.2">
      <c r="A8" s="80" t="s">
        <v>103</v>
      </c>
      <c r="B8" s="82">
        <v>0.10310418359677453</v>
      </c>
      <c r="C8" s="82">
        <v>0.89689581640322547</v>
      </c>
    </row>
    <row r="9" spans="1:3" x14ac:dyDescent="0.2">
      <c r="A9" s="81" t="s">
        <v>104</v>
      </c>
      <c r="B9" s="82">
        <v>1.315E-2</v>
      </c>
      <c r="C9" s="82">
        <v>1.5675407412367736E-2</v>
      </c>
    </row>
    <row r="10" spans="1:3" x14ac:dyDescent="0.2">
      <c r="A10" s="81" t="s">
        <v>105</v>
      </c>
      <c r="B10" s="82">
        <v>4.3833499999999997E-2</v>
      </c>
      <c r="C10" s="82">
        <v>4.6793407202967152E-2</v>
      </c>
    </row>
    <row r="11" spans="1:3" x14ac:dyDescent="0.2">
      <c r="A11" s="81" t="s">
        <v>106</v>
      </c>
      <c r="B11" s="82">
        <v>0.29999885931992654</v>
      </c>
      <c r="C11" s="82">
        <v>0.33499179370237792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AB64-9F9A-AA48-87EE-EDE6F981C782}">
  <dimension ref="A1:C21"/>
  <sheetViews>
    <sheetView workbookViewId="0">
      <selection activeCell="E36" sqref="E36"/>
    </sheetView>
  </sheetViews>
  <sheetFormatPr baseColWidth="10" defaultRowHeight="16" x14ac:dyDescent="0.2"/>
  <cols>
    <col min="1" max="1" width="23.83203125" bestFit="1" customWidth="1"/>
    <col min="2" max="2" width="21.5" bestFit="1" customWidth="1"/>
    <col min="3" max="3" width="6.33203125" bestFit="1" customWidth="1"/>
  </cols>
  <sheetData>
    <row r="1" spans="1:3" x14ac:dyDescent="0.2">
      <c r="A1" s="21" t="s">
        <v>24</v>
      </c>
      <c r="B1" s="21" t="s">
        <v>0</v>
      </c>
      <c r="C1" s="21" t="s">
        <v>1</v>
      </c>
    </row>
    <row r="2" spans="1:3" x14ac:dyDescent="0.2">
      <c r="A2" s="22" t="s">
        <v>46</v>
      </c>
      <c r="B2" s="22" t="s">
        <v>13</v>
      </c>
      <c r="C2" s="22" t="s">
        <v>30</v>
      </c>
    </row>
    <row r="3" spans="1:3" x14ac:dyDescent="0.2">
      <c r="A3" s="22" t="s">
        <v>7</v>
      </c>
      <c r="B3" s="22" t="s">
        <v>8</v>
      </c>
      <c r="C3" s="22" t="s">
        <v>9</v>
      </c>
    </row>
    <row r="4" spans="1:3" x14ac:dyDescent="0.2">
      <c r="A4" s="22" t="s">
        <v>47</v>
      </c>
      <c r="B4" s="22" t="s">
        <v>6</v>
      </c>
      <c r="C4" s="22" t="s">
        <v>10</v>
      </c>
    </row>
    <row r="5" spans="1:3" x14ac:dyDescent="0.2">
      <c r="A5" s="22" t="s">
        <v>48</v>
      </c>
      <c r="B5" s="22" t="s">
        <v>13</v>
      </c>
      <c r="C5" s="22" t="s">
        <v>31</v>
      </c>
    </row>
    <row r="6" spans="1:3" x14ac:dyDescent="0.2">
      <c r="A6" s="22" t="s">
        <v>49</v>
      </c>
      <c r="B6" s="22" t="s">
        <v>13</v>
      </c>
      <c r="C6" s="22" t="s">
        <v>32</v>
      </c>
    </row>
    <row r="7" spans="1:3" x14ac:dyDescent="0.2">
      <c r="A7" s="22" t="s">
        <v>50</v>
      </c>
      <c r="B7" s="22" t="s">
        <v>12</v>
      </c>
      <c r="C7" s="22" t="s">
        <v>33</v>
      </c>
    </row>
    <row r="8" spans="1:3" x14ac:dyDescent="0.2">
      <c r="A8" s="71" t="s">
        <v>51</v>
      </c>
      <c r="B8" s="71" t="s">
        <v>13</v>
      </c>
      <c r="C8" s="71" t="s">
        <v>34</v>
      </c>
    </row>
    <row r="9" spans="1:3" x14ac:dyDescent="0.2">
      <c r="A9" s="22" t="s">
        <v>52</v>
      </c>
      <c r="B9" s="22" t="s">
        <v>45</v>
      </c>
      <c r="C9" s="22" t="s">
        <v>35</v>
      </c>
    </row>
    <row r="10" spans="1:3" x14ac:dyDescent="0.2">
      <c r="A10" s="22" t="s">
        <v>53</v>
      </c>
      <c r="B10" s="22" t="s">
        <v>14</v>
      </c>
      <c r="C10" s="22" t="s">
        <v>36</v>
      </c>
    </row>
    <row r="11" spans="1:3" x14ac:dyDescent="0.2">
      <c r="A11" s="22" t="s">
        <v>15</v>
      </c>
      <c r="B11" s="22" t="s">
        <v>13</v>
      </c>
      <c r="C11" s="22" t="s">
        <v>16</v>
      </c>
    </row>
    <row r="12" spans="1:3" x14ac:dyDescent="0.2">
      <c r="A12" s="71" t="s">
        <v>54</v>
      </c>
      <c r="B12" s="71" t="s">
        <v>13</v>
      </c>
      <c r="C12" s="71" t="s">
        <v>37</v>
      </c>
    </row>
    <row r="13" spans="1:3" x14ac:dyDescent="0.2">
      <c r="A13" s="22" t="s">
        <v>55</v>
      </c>
      <c r="B13" s="22" t="s">
        <v>8</v>
      </c>
      <c r="C13" s="22" t="s">
        <v>17</v>
      </c>
    </row>
    <row r="14" spans="1:3" x14ac:dyDescent="0.2">
      <c r="A14" s="22" t="s">
        <v>56</v>
      </c>
      <c r="B14" s="22" t="s">
        <v>14</v>
      </c>
      <c r="C14" s="22" t="s">
        <v>38</v>
      </c>
    </row>
    <row r="15" spans="1:3" x14ac:dyDescent="0.2">
      <c r="A15" s="71" t="s">
        <v>57</v>
      </c>
      <c r="B15" s="71" t="s">
        <v>13</v>
      </c>
      <c r="C15" s="71" t="s">
        <v>39</v>
      </c>
    </row>
    <row r="16" spans="1:3" x14ac:dyDescent="0.2">
      <c r="A16" s="71" t="s">
        <v>58</v>
      </c>
      <c r="B16" s="71" t="s">
        <v>13</v>
      </c>
      <c r="C16" s="71" t="s">
        <v>40</v>
      </c>
    </row>
    <row r="17" spans="1:3" x14ac:dyDescent="0.2">
      <c r="A17" s="22" t="s">
        <v>59</v>
      </c>
      <c r="B17" s="22" t="s">
        <v>6</v>
      </c>
      <c r="C17" s="22" t="s">
        <v>41</v>
      </c>
    </row>
    <row r="18" spans="1:3" x14ac:dyDescent="0.2">
      <c r="A18" s="22" t="s">
        <v>60</v>
      </c>
      <c r="B18" s="22" t="s">
        <v>13</v>
      </c>
      <c r="C18" s="22" t="s">
        <v>42</v>
      </c>
    </row>
    <row r="19" spans="1:3" x14ac:dyDescent="0.2">
      <c r="A19" s="74" t="s">
        <v>61</v>
      </c>
      <c r="B19" s="74" t="s">
        <v>11</v>
      </c>
      <c r="C19" s="74" t="s">
        <v>18</v>
      </c>
    </row>
    <row r="20" spans="1:3" x14ac:dyDescent="0.2">
      <c r="A20" s="22" t="s">
        <v>62</v>
      </c>
      <c r="B20" s="22" t="s">
        <v>12</v>
      </c>
      <c r="C20" s="22" t="s">
        <v>43</v>
      </c>
    </row>
    <row r="21" spans="1:3" x14ac:dyDescent="0.2">
      <c r="A21" s="22" t="s">
        <v>63</v>
      </c>
      <c r="B21" s="22" t="s">
        <v>13</v>
      </c>
      <c r="C21" s="2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6C05-5358-9E4C-BB73-3EDCBBB2E05C}">
  <dimension ref="A1:D5"/>
  <sheetViews>
    <sheetView workbookViewId="0">
      <selection activeCell="B5" sqref="B5:D5"/>
    </sheetView>
  </sheetViews>
  <sheetFormatPr baseColWidth="10" defaultRowHeight="16" x14ac:dyDescent="0.2"/>
  <sheetData>
    <row r="1" spans="1:4" x14ac:dyDescent="0.2">
      <c r="A1" t="s">
        <v>89</v>
      </c>
      <c r="B1">
        <v>1.54E-2</v>
      </c>
    </row>
    <row r="2" spans="1:4" x14ac:dyDescent="0.2">
      <c r="A2" t="s">
        <v>109</v>
      </c>
      <c r="B2">
        <f>0.046</f>
        <v>4.5999999999999999E-2</v>
      </c>
    </row>
    <row r="3" spans="1:4" x14ac:dyDescent="0.2">
      <c r="A3" t="s">
        <v>111</v>
      </c>
      <c r="B3">
        <v>5000000</v>
      </c>
    </row>
    <row r="4" spans="1:4" x14ac:dyDescent="0.2">
      <c r="A4" t="s">
        <v>110</v>
      </c>
      <c r="B4">
        <v>2.3260000000000001</v>
      </c>
      <c r="C4">
        <v>1.645</v>
      </c>
      <c r="D4">
        <v>1.282</v>
      </c>
    </row>
    <row r="5" spans="1:4" x14ac:dyDescent="0.2">
      <c r="A5" t="s">
        <v>112</v>
      </c>
      <c r="B5">
        <f>($B$1-B$4*$B$2)*$B$3</f>
        <v>-457980.00000000006</v>
      </c>
      <c r="C5">
        <f t="shared" ref="C5:D5" si="0">($B$1-C$4*$B$2)*$B$3</f>
        <v>-301350</v>
      </c>
      <c r="D5">
        <f t="shared" si="0"/>
        <v>-217860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BBFA-9401-3744-AE05-09553F6C1824}">
  <dimension ref="A1:C22"/>
  <sheetViews>
    <sheetView workbookViewId="0">
      <selection sqref="A1:C22"/>
    </sheetView>
  </sheetViews>
  <sheetFormatPr baseColWidth="10" defaultRowHeight="16" x14ac:dyDescent="0.2"/>
  <cols>
    <col min="1" max="1" width="29.83203125" bestFit="1" customWidth="1"/>
    <col min="2" max="2" width="12.6640625" bestFit="1" customWidth="1"/>
  </cols>
  <sheetData>
    <row r="1" spans="1:3" x14ac:dyDescent="0.2">
      <c r="A1" s="21" t="s">
        <v>24</v>
      </c>
      <c r="B1" t="s">
        <v>113</v>
      </c>
      <c r="C1" s="21" t="s">
        <v>20</v>
      </c>
    </row>
    <row r="2" spans="1:3" x14ac:dyDescent="0.2">
      <c r="A2" s="87" t="s">
        <v>5</v>
      </c>
      <c r="B2" s="88">
        <v>0.10299999999999999</v>
      </c>
      <c r="C2" s="67">
        <v>1.9214E-3</v>
      </c>
    </row>
    <row r="3" spans="1:3" x14ac:dyDescent="0.2">
      <c r="A3" t="s">
        <v>30</v>
      </c>
      <c r="B3" s="89">
        <v>0.19906702241615049</v>
      </c>
      <c r="C3" s="67">
        <v>6.7470000000000004E-3</v>
      </c>
    </row>
    <row r="4" spans="1:3" x14ac:dyDescent="0.2">
      <c r="A4" t="s">
        <v>9</v>
      </c>
      <c r="B4" s="89">
        <v>0.14000474260147808</v>
      </c>
      <c r="C4" s="67">
        <v>5.7241000000000002E-3</v>
      </c>
    </row>
    <row r="5" spans="1:3" x14ac:dyDescent="0.2">
      <c r="A5" t="s">
        <v>10</v>
      </c>
      <c r="B5" s="89">
        <v>7.6680551631654714E-2</v>
      </c>
      <c r="C5" s="67">
        <v>6.1806999999999999E-3</v>
      </c>
    </row>
    <row r="6" spans="1:3" x14ac:dyDescent="0.2">
      <c r="A6" t="s">
        <v>31</v>
      </c>
      <c r="B6" s="89">
        <v>8.6710065691252045E-2</v>
      </c>
      <c r="C6" s="67">
        <v>3.7055999999999999E-3</v>
      </c>
    </row>
    <row r="7" spans="1:3" x14ac:dyDescent="0.2">
      <c r="A7" t="s">
        <v>32</v>
      </c>
      <c r="B7" s="89">
        <v>3.4748080946374771E-2</v>
      </c>
      <c r="C7" s="67">
        <v>7.9396999999999992E-3</v>
      </c>
    </row>
    <row r="8" spans="1:3" x14ac:dyDescent="0.2">
      <c r="A8" t="s">
        <v>33</v>
      </c>
      <c r="B8" s="89">
        <v>6.6065913728820633E-2</v>
      </c>
      <c r="C8" s="67">
        <v>4.9328000000000002E-3</v>
      </c>
    </row>
    <row r="9" spans="1:3" x14ac:dyDescent="0.2">
      <c r="A9" t="s">
        <v>34</v>
      </c>
      <c r="B9" s="89">
        <v>-5.6195487131565263E-3</v>
      </c>
      <c r="C9" s="72">
        <v>5.0739000000000001E-3</v>
      </c>
    </row>
    <row r="10" spans="1:3" x14ac:dyDescent="0.2">
      <c r="A10" t="s">
        <v>35</v>
      </c>
      <c r="B10" s="89">
        <v>8.2595279086493893E-3</v>
      </c>
      <c r="C10" s="67">
        <v>5.4215000000000001E-3</v>
      </c>
    </row>
    <row r="11" spans="1:3" x14ac:dyDescent="0.2">
      <c r="A11" t="s">
        <v>36</v>
      </c>
      <c r="B11" s="89">
        <v>2.8815304138087354E-2</v>
      </c>
      <c r="C11" s="67">
        <v>5.0508999999999997E-3</v>
      </c>
    </row>
    <row r="12" spans="1:3" x14ac:dyDescent="0.2">
      <c r="A12" t="s">
        <v>16</v>
      </c>
      <c r="B12" s="89">
        <v>3.4617529924592119E-2</v>
      </c>
      <c r="C12" s="67">
        <v>1.6161999999999999E-3</v>
      </c>
    </row>
    <row r="13" spans="1:3" x14ac:dyDescent="0.2">
      <c r="A13" t="s">
        <v>37</v>
      </c>
      <c r="B13" s="89">
        <v>-4.9335347141498613E-2</v>
      </c>
      <c r="C13" s="72">
        <v>6.2798000000000003E-3</v>
      </c>
    </row>
    <row r="14" spans="1:3" x14ac:dyDescent="0.2">
      <c r="A14" t="s">
        <v>17</v>
      </c>
      <c r="B14" s="89">
        <v>1.3236163018609861E-2</v>
      </c>
      <c r="C14" s="67">
        <v>1.05004E-2</v>
      </c>
    </row>
    <row r="15" spans="1:3" x14ac:dyDescent="0.2">
      <c r="A15" t="s">
        <v>38</v>
      </c>
      <c r="B15" s="89">
        <v>8.9468845705469771E-2</v>
      </c>
      <c r="C15" s="67">
        <v>4.1966E-3</v>
      </c>
    </row>
    <row r="16" spans="1:3" x14ac:dyDescent="0.2">
      <c r="A16" t="s">
        <v>39</v>
      </c>
      <c r="B16" s="89">
        <v>-0.10627155225076622</v>
      </c>
      <c r="C16" s="72">
        <v>5.9159E-3</v>
      </c>
    </row>
    <row r="17" spans="1:3" x14ac:dyDescent="0.2">
      <c r="A17" t="s">
        <v>40</v>
      </c>
      <c r="B17" s="89">
        <v>-4.9392518760676019E-2</v>
      </c>
      <c r="C17" s="72">
        <v>7.4792000000000001E-3</v>
      </c>
    </row>
    <row r="18" spans="1:3" x14ac:dyDescent="0.2">
      <c r="A18" t="s">
        <v>41</v>
      </c>
      <c r="B18" s="89">
        <v>5.2537219381897579E-3</v>
      </c>
      <c r="C18" s="67">
        <v>6.2842999999999996E-3</v>
      </c>
    </row>
    <row r="19" spans="1:3" x14ac:dyDescent="0.2">
      <c r="A19" t="s">
        <v>42</v>
      </c>
      <c r="B19" s="89">
        <v>4.9142700892227789E-2</v>
      </c>
      <c r="C19" s="67">
        <v>1.0808099999999999E-2</v>
      </c>
    </row>
    <row r="20" spans="1:3" x14ac:dyDescent="0.2">
      <c r="A20" t="s">
        <v>18</v>
      </c>
      <c r="B20" s="89">
        <v>0.21623463594182243</v>
      </c>
      <c r="C20" s="75">
        <v>2.1632000000000001E-3</v>
      </c>
    </row>
    <row r="21" spans="1:3" x14ac:dyDescent="0.2">
      <c r="A21" t="s">
        <v>43</v>
      </c>
      <c r="B21" s="89">
        <v>4.4366019951708122E-2</v>
      </c>
      <c r="C21" s="67">
        <v>6.6248000000000001E-3</v>
      </c>
    </row>
    <row r="22" spans="1:3" x14ac:dyDescent="0.2">
      <c r="A22" t="s">
        <v>44</v>
      </c>
      <c r="B22" s="89">
        <v>1.4843956834235353E-2</v>
      </c>
      <c r="C22" s="67">
        <v>3.7737000000000001E-3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6CC2-CFE4-B845-927E-7960987D3A28}">
  <dimension ref="A1:C22"/>
  <sheetViews>
    <sheetView workbookViewId="0">
      <selection activeCell="C22" sqref="A1:C22"/>
    </sheetView>
  </sheetViews>
  <sheetFormatPr baseColWidth="10" defaultRowHeight="16" x14ac:dyDescent="0.2"/>
  <cols>
    <col min="1" max="1" width="12.83203125" bestFit="1" customWidth="1"/>
    <col min="2" max="2" width="8" bestFit="1" customWidth="1"/>
    <col min="3" max="3" width="12.6640625" bestFit="1" customWidth="1"/>
  </cols>
  <sheetData>
    <row r="1" spans="1:3" x14ac:dyDescent="0.2">
      <c r="A1" s="21" t="s">
        <v>24</v>
      </c>
      <c r="B1" t="s">
        <v>113</v>
      </c>
      <c r="C1" s="21" t="s">
        <v>20</v>
      </c>
    </row>
    <row r="2" spans="1:3" x14ac:dyDescent="0.2">
      <c r="A2" s="87" t="s">
        <v>5</v>
      </c>
      <c r="B2" s="88">
        <v>0.10299999999999999</v>
      </c>
      <c r="C2" s="67">
        <v>1.9214E-3</v>
      </c>
    </row>
    <row r="3" spans="1:3" x14ac:dyDescent="0.2">
      <c r="A3" t="s">
        <v>30</v>
      </c>
      <c r="B3" s="89">
        <v>0.19906702241615049</v>
      </c>
      <c r="C3" s="67">
        <v>6.7470000000000004E-3</v>
      </c>
    </row>
    <row r="4" spans="1:3" x14ac:dyDescent="0.2">
      <c r="A4" t="s">
        <v>9</v>
      </c>
      <c r="B4" s="89">
        <v>0.14000474260147808</v>
      </c>
      <c r="C4" s="67">
        <v>5.7241000000000002E-3</v>
      </c>
    </row>
    <row r="5" spans="1:3" x14ac:dyDescent="0.2">
      <c r="A5" t="s">
        <v>10</v>
      </c>
      <c r="B5" s="89">
        <v>7.6680551631654714E-2</v>
      </c>
      <c r="C5" s="67">
        <v>6.1806999999999999E-3</v>
      </c>
    </row>
    <row r="6" spans="1:3" x14ac:dyDescent="0.2">
      <c r="A6" t="s">
        <v>31</v>
      </c>
      <c r="B6" s="89">
        <v>8.6710065691252045E-2</v>
      </c>
      <c r="C6" s="67">
        <v>3.7055999999999999E-3</v>
      </c>
    </row>
    <row r="7" spans="1:3" x14ac:dyDescent="0.2">
      <c r="A7" t="s">
        <v>32</v>
      </c>
      <c r="B7" s="89">
        <v>3.4748080946374771E-2</v>
      </c>
      <c r="C7" s="67">
        <v>7.9396999999999992E-3</v>
      </c>
    </row>
    <row r="8" spans="1:3" x14ac:dyDescent="0.2">
      <c r="A8" t="s">
        <v>33</v>
      </c>
      <c r="B8" s="89">
        <v>6.6065913728820633E-2</v>
      </c>
      <c r="C8" s="67">
        <v>4.9328000000000002E-3</v>
      </c>
    </row>
    <row r="9" spans="1:3" x14ac:dyDescent="0.2">
      <c r="A9" t="s">
        <v>34</v>
      </c>
      <c r="B9" s="89">
        <v>-5.6195487131565263E-3</v>
      </c>
      <c r="C9" s="72">
        <v>5.0739000000000001E-3</v>
      </c>
    </row>
    <row r="10" spans="1:3" x14ac:dyDescent="0.2">
      <c r="A10" t="s">
        <v>35</v>
      </c>
      <c r="B10" s="89">
        <v>8.2595279086493893E-3</v>
      </c>
      <c r="C10" s="67">
        <v>5.4215000000000001E-3</v>
      </c>
    </row>
    <row r="11" spans="1:3" x14ac:dyDescent="0.2">
      <c r="A11" t="s">
        <v>36</v>
      </c>
      <c r="B11" s="89">
        <v>2.8815304138087354E-2</v>
      </c>
      <c r="C11" s="67">
        <v>5.0508999999999997E-3</v>
      </c>
    </row>
    <row r="12" spans="1:3" x14ac:dyDescent="0.2">
      <c r="A12" t="s">
        <v>16</v>
      </c>
      <c r="B12" s="89">
        <v>3.4617529924592119E-2</v>
      </c>
      <c r="C12" s="67">
        <v>1.6161999999999999E-3</v>
      </c>
    </row>
    <row r="13" spans="1:3" x14ac:dyDescent="0.2">
      <c r="A13" t="s">
        <v>37</v>
      </c>
      <c r="B13" s="89">
        <v>-4.9335347141498613E-2</v>
      </c>
      <c r="C13" s="72">
        <v>6.2798000000000003E-3</v>
      </c>
    </row>
    <row r="14" spans="1:3" x14ac:dyDescent="0.2">
      <c r="A14" t="s">
        <v>17</v>
      </c>
      <c r="B14" s="89">
        <v>1.3236163018609861E-2</v>
      </c>
      <c r="C14" s="67">
        <v>1.05004E-2</v>
      </c>
    </row>
    <row r="15" spans="1:3" x14ac:dyDescent="0.2">
      <c r="A15" t="s">
        <v>38</v>
      </c>
      <c r="B15" s="89">
        <v>8.9468845705469771E-2</v>
      </c>
      <c r="C15" s="67">
        <v>4.1966E-3</v>
      </c>
    </row>
    <row r="16" spans="1:3" x14ac:dyDescent="0.2">
      <c r="A16" t="s">
        <v>39</v>
      </c>
      <c r="B16" s="89">
        <v>-0.10627155225076622</v>
      </c>
      <c r="C16" s="72">
        <v>5.9159E-3</v>
      </c>
    </row>
    <row r="17" spans="1:3" x14ac:dyDescent="0.2">
      <c r="A17" t="s">
        <v>40</v>
      </c>
      <c r="B17" s="89">
        <v>-4.9392518760676019E-2</v>
      </c>
      <c r="C17" s="72">
        <v>7.4792000000000001E-3</v>
      </c>
    </row>
    <row r="18" spans="1:3" x14ac:dyDescent="0.2">
      <c r="A18" t="s">
        <v>41</v>
      </c>
      <c r="B18" s="89">
        <v>5.2537219381897579E-3</v>
      </c>
      <c r="C18" s="67">
        <v>6.2842999999999996E-3</v>
      </c>
    </row>
    <row r="19" spans="1:3" x14ac:dyDescent="0.2">
      <c r="A19" t="s">
        <v>42</v>
      </c>
      <c r="B19" s="89">
        <v>4.9142700892227789E-2</v>
      </c>
      <c r="C19" s="67">
        <v>1.0808099999999999E-2</v>
      </c>
    </row>
    <row r="20" spans="1:3" x14ac:dyDescent="0.2">
      <c r="A20" t="s">
        <v>18</v>
      </c>
      <c r="B20" s="89">
        <v>0.21623463594182243</v>
      </c>
      <c r="C20" s="75">
        <v>2.1632000000000001E-3</v>
      </c>
    </row>
    <row r="21" spans="1:3" x14ac:dyDescent="0.2">
      <c r="A21" t="s">
        <v>43</v>
      </c>
      <c r="B21" s="89">
        <v>4.4366019951708122E-2</v>
      </c>
      <c r="C21" s="67">
        <v>6.6248000000000001E-3</v>
      </c>
    </row>
    <row r="22" spans="1:3" x14ac:dyDescent="0.2">
      <c r="A22" t="s">
        <v>44</v>
      </c>
      <c r="B22" s="89">
        <v>1.4843956834235353E-2</v>
      </c>
      <c r="C22" s="67">
        <v>3.7737000000000001E-3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Forecasts</vt:lpstr>
      <vt:lpstr>Workings</vt:lpstr>
      <vt:lpstr>Charts</vt:lpstr>
      <vt:lpstr>R</vt:lpstr>
      <vt:lpstr>Securities</vt:lpstr>
      <vt:lpstr>VaR</vt:lpstr>
      <vt:lpstr>Fee to access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Danika Wright</dc:creator>
  <cp:lastModifiedBy>Tony Gong</cp:lastModifiedBy>
  <dcterms:created xsi:type="dcterms:W3CDTF">2020-10-11T20:37:05Z</dcterms:created>
  <dcterms:modified xsi:type="dcterms:W3CDTF">2021-11-04T10:52:11Z</dcterms:modified>
</cp:coreProperties>
</file>