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 activeTab="2"/>
  </bookViews>
  <sheets>
    <sheet name="ข้าวเหนียวนาปี" sheetId="2" r:id="rId1"/>
    <sheet name="ยางพารา" sheetId="3" r:id="rId2"/>
    <sheet name="อ้อยโรงงาน" sheetId="1" r:id="rId3"/>
  </sheets>
  <calcPr calcId="125725"/>
</workbook>
</file>

<file path=xl/calcChain.xml><?xml version="1.0" encoding="utf-8"?>
<calcChain xmlns="http://schemas.openxmlformats.org/spreadsheetml/2006/main">
  <c r="B26" i="1"/>
  <c r="C26"/>
  <c r="D26"/>
  <c r="E26"/>
  <c r="F26"/>
  <c r="G26"/>
  <c r="G31"/>
  <c r="E31"/>
  <c r="G25"/>
  <c r="F25"/>
  <c r="E25"/>
  <c r="D25"/>
  <c r="C25"/>
  <c r="B25"/>
  <c r="D30"/>
  <c r="D31"/>
  <c r="E29"/>
  <c r="G30" s="1"/>
  <c r="B29"/>
  <c r="B30" l="1"/>
  <c r="B31" s="1"/>
  <c r="E30"/>
  <c r="E28" i="2"/>
  <c r="G29" s="1"/>
  <c r="G30" s="1"/>
  <c r="G25"/>
  <c r="F25"/>
  <c r="E25"/>
  <c r="B28"/>
  <c r="D29" s="1"/>
  <c r="D30" s="1"/>
  <c r="D25"/>
  <c r="C25"/>
  <c r="B25"/>
  <c r="E29" l="1"/>
  <c r="E30" s="1"/>
  <c r="B29"/>
  <c r="B30" s="1"/>
  <c r="E12" l="1"/>
  <c r="B12"/>
  <c r="G23"/>
  <c r="D23"/>
  <c r="G22"/>
  <c r="D22"/>
  <c r="G21"/>
  <c r="G20" s="1"/>
  <c r="D21"/>
  <c r="F20"/>
  <c r="E20"/>
  <c r="C20"/>
  <c r="B20"/>
  <c r="G18"/>
  <c r="D18"/>
  <c r="G17"/>
  <c r="D17"/>
  <c r="G16"/>
  <c r="D16"/>
  <c r="G15"/>
  <c r="D15"/>
  <c r="G14"/>
  <c r="D14"/>
  <c r="G13"/>
  <c r="D13"/>
  <c r="F12"/>
  <c r="C12"/>
  <c r="G11"/>
  <c r="D11"/>
  <c r="G10"/>
  <c r="D10"/>
  <c r="G9"/>
  <c r="D9"/>
  <c r="G8"/>
  <c r="D8"/>
  <c r="F7"/>
  <c r="E7"/>
  <c r="C7"/>
  <c r="B7"/>
  <c r="G12" l="1"/>
  <c r="F19"/>
  <c r="F6" s="1"/>
  <c r="F24" s="1"/>
  <c r="G7"/>
  <c r="D20"/>
  <c r="D12"/>
  <c r="C19"/>
  <c r="C6" s="1"/>
  <c r="C24" s="1"/>
  <c r="D7"/>
  <c r="B6"/>
  <c r="B24" s="1"/>
  <c r="E6"/>
  <c r="E24" s="1"/>
  <c r="G19" l="1"/>
  <c r="G6" s="1"/>
  <c r="G24" s="1"/>
  <c r="D19"/>
  <c r="D6" s="1"/>
  <c r="D24" s="1"/>
  <c r="B10" i="3" l="1"/>
  <c r="G13"/>
  <c r="D13"/>
  <c r="E27"/>
  <c r="B27"/>
  <c r="G22"/>
  <c r="D22"/>
  <c r="G21"/>
  <c r="D21"/>
  <c r="G20"/>
  <c r="D20"/>
  <c r="G19"/>
  <c r="D19"/>
  <c r="F18"/>
  <c r="E18"/>
  <c r="C18"/>
  <c r="B18"/>
  <c r="G16"/>
  <c r="D16"/>
  <c r="G15"/>
  <c r="D15"/>
  <c r="G14"/>
  <c r="D14"/>
  <c r="G12"/>
  <c r="D12"/>
  <c r="D10" s="1"/>
  <c r="G11"/>
  <c r="G10" s="1"/>
  <c r="D11"/>
  <c r="F10"/>
  <c r="E10"/>
  <c r="C10"/>
  <c r="C17" s="1"/>
  <c r="G9"/>
  <c r="D9"/>
  <c r="G8"/>
  <c r="G7" s="1"/>
  <c r="D8"/>
  <c r="F7"/>
  <c r="E7"/>
  <c r="D7"/>
  <c r="C7"/>
  <c r="B7"/>
  <c r="B6"/>
  <c r="B23" s="1"/>
  <c r="E6" l="1"/>
  <c r="E23" s="1"/>
  <c r="E24" s="1"/>
  <c r="E29" s="1"/>
  <c r="F17"/>
  <c r="F6" s="1"/>
  <c r="F23" s="1"/>
  <c r="F24" s="1"/>
  <c r="G18"/>
  <c r="D18"/>
  <c r="D17"/>
  <c r="D6"/>
  <c r="D23" s="1"/>
  <c r="D24" s="1"/>
  <c r="D29" s="1"/>
  <c r="B28"/>
  <c r="B24"/>
  <c r="B29" s="1"/>
  <c r="C6"/>
  <c r="C23" s="1"/>
  <c r="C24" s="1"/>
  <c r="G17" l="1"/>
  <c r="G6" s="1"/>
  <c r="G23" s="1"/>
  <c r="G24" s="1"/>
  <c r="G29" s="1"/>
  <c r="E28"/>
  <c r="D28"/>
  <c r="G28" l="1"/>
  <c r="G24" i="1"/>
  <c r="D24"/>
  <c r="G23"/>
  <c r="D23"/>
  <c r="D21" s="1"/>
  <c r="G22"/>
  <c r="G21" s="1"/>
  <c r="D22"/>
  <c r="F21"/>
  <c r="E21"/>
  <c r="C21"/>
  <c r="B21"/>
  <c r="G19"/>
  <c r="D19"/>
  <c r="G18"/>
  <c r="D18"/>
  <c r="G17"/>
  <c r="D17"/>
  <c r="G16"/>
  <c r="D16"/>
  <c r="G15"/>
  <c r="D15"/>
  <c r="G14"/>
  <c r="G12" s="1"/>
  <c r="D14"/>
  <c r="G13"/>
  <c r="D13"/>
  <c r="F12"/>
  <c r="E12"/>
  <c r="C12"/>
  <c r="B12"/>
  <c r="C20" s="1"/>
  <c r="C6" s="1"/>
  <c r="G11"/>
  <c r="D11"/>
  <c r="G10"/>
  <c r="D10"/>
  <c r="G9"/>
  <c r="D9"/>
  <c r="G8"/>
  <c r="G7" s="1"/>
  <c r="D8"/>
  <c r="D7" s="1"/>
  <c r="F7"/>
  <c r="E7"/>
  <c r="C7"/>
  <c r="B7"/>
  <c r="E6"/>
  <c r="B6" l="1"/>
  <c r="D12"/>
  <c r="D20" s="1"/>
  <c r="D6" s="1"/>
  <c r="F20"/>
  <c r="F6" s="1"/>
  <c r="G20"/>
  <c r="G6" s="1"/>
</calcChain>
</file>

<file path=xl/sharedStrings.xml><?xml version="1.0" encoding="utf-8"?>
<sst xmlns="http://schemas.openxmlformats.org/spreadsheetml/2006/main" count="111" uniqueCount="65">
  <si>
    <t>หน่วย : บาท/ไร่</t>
  </si>
  <si>
    <t>รายการ</t>
  </si>
  <si>
    <t>S1</t>
  </si>
  <si>
    <t>N</t>
  </si>
  <si>
    <t>เงินสด</t>
  </si>
  <si>
    <t>ไม่เป็นเงินสด</t>
  </si>
  <si>
    <t>รวม</t>
  </si>
  <si>
    <t>1.  ต้นทุนผันแปร</t>
  </si>
  <si>
    <t>1.1 ค่าแรงงาน</t>
  </si>
  <si>
    <t xml:space="preserve">   เตรียมดิน</t>
  </si>
  <si>
    <t xml:space="preserve">   เตรียมพันธุ์และปลูก</t>
  </si>
  <si>
    <t xml:space="preserve">   ดูแลรักษา</t>
  </si>
  <si>
    <t xml:space="preserve">   เก็บเกี่ยว</t>
  </si>
  <si>
    <t>1.2 ค่าวัสดุ</t>
  </si>
  <si>
    <t xml:space="preserve">   ค่าพันธุ์</t>
  </si>
  <si>
    <t xml:space="preserve">   ค่าปุ๋ย</t>
  </si>
  <si>
    <t xml:space="preserve">   ค่าสารปราบศัตรูพืชและวัชพืช</t>
  </si>
  <si>
    <t xml:space="preserve">   ค่าสารอื่นๆ และวัสดุปรับปรุงดิน</t>
  </si>
  <si>
    <t xml:space="preserve">   ค่าน้ำมันเชื้อเพลิงและหล่อลื่น</t>
  </si>
  <si>
    <t xml:space="preserve">   ค่าวัสดุการเกษตรและวัสดุสิ้นเปลือง</t>
  </si>
  <si>
    <t xml:space="preserve">   ค่าซ่อมแซมอุปกรณ์การเกษตร</t>
  </si>
  <si>
    <t>1.3  ค่าเสียโอกาสเงินลงทุน</t>
  </si>
  <si>
    <t>2. ต้นทุนคงที่</t>
  </si>
  <si>
    <t xml:space="preserve">   ค่าเช่าที่ดิน</t>
  </si>
  <si>
    <t xml:space="preserve">   ค่าเสื่อมอุปกรณ์การเกษตร</t>
  </si>
  <si>
    <t xml:space="preserve">    ค่าเสียโอกาสเงินลงทุนอุปกรณ์การเกษตร</t>
  </si>
  <si>
    <t>3. ต้นทุนรวมต่อไร่</t>
  </si>
  <si>
    <t>4. ต้นทุนรวมต่อกิโลกรัม</t>
  </si>
  <si>
    <t>5. ผลผลิตต่อไร่ (กก.)</t>
  </si>
  <si>
    <t>6. ราคาที่เกษตรกรขายได้ที่ไร่นา (บาท/กิโลกรัม)</t>
  </si>
  <si>
    <t>7. ผลตอบแทนต่อไร่</t>
  </si>
  <si>
    <t>8. ผลตอบแทนสุทธิต่อไร่</t>
  </si>
  <si>
    <t>9. ผลตอบแทนสุทธิต่อกิโลกรัม</t>
  </si>
  <si>
    <t>อุดรธานี</t>
  </si>
  <si>
    <t>5. ผลผลิตต่อไร่ (ตัน)</t>
  </si>
  <si>
    <t>6. ราคาที่เกษตรกรขายได้ที่ไร่นา (บาท/ตัน)</t>
  </si>
  <si>
    <t>หน่วย:บาท/ไร่</t>
  </si>
  <si>
    <t>ประเมิน</t>
  </si>
  <si>
    <t xml:space="preserve"> 1. ต้นทุนผันแปร</t>
  </si>
  <si>
    <t>1.1  ค่าแรงงาน</t>
  </si>
  <si>
    <t xml:space="preserve">        ดูแลรักษา</t>
  </si>
  <si>
    <t xml:space="preserve">       เก็บเกี่ยว(กรีดยาง) </t>
  </si>
  <si>
    <t>1.2  ค่าวัสดุ</t>
  </si>
  <si>
    <t xml:space="preserve">       ค่าปุ๋ย</t>
  </si>
  <si>
    <t xml:space="preserve">       ค่ายาป้องกันกำจัดศัตรูและวัชพืช</t>
  </si>
  <si>
    <t xml:space="preserve">        ค่าน้ำมันเชื้อเพลิงและไฟฟ้า</t>
  </si>
  <si>
    <t xml:space="preserve">       ค่าวัสดุการเกษตรและวัสดุสิ้นเปลือง</t>
  </si>
  <si>
    <t xml:space="preserve">       ค่าซ่อมแซมอุปกรณ์การเกษตร</t>
  </si>
  <si>
    <t xml:space="preserve">  1.3ค่าเสียโอกาสเงินลงทุน</t>
  </si>
  <si>
    <t>2.  ต้นทุนคงที่</t>
  </si>
  <si>
    <t xml:space="preserve">      ค่าเช่าที่ดิน</t>
  </si>
  <si>
    <t xml:space="preserve">      ค่าเสื่อมอุปกรณ์การเกษตร</t>
  </si>
  <si>
    <t xml:space="preserve">       ค่าเสียโอกาสเงินลงทุนอุปกรณ์การเกษตร</t>
  </si>
  <si>
    <t xml:space="preserve">      ค่าเฉลี่ยต้นทุนก่อนให้ผลผลิต </t>
  </si>
  <si>
    <t>3.  ต้นทุนรวมต่อไร่</t>
  </si>
  <si>
    <t xml:space="preserve">5.  ผลผลิตต่อไร่ (กก.) </t>
  </si>
  <si>
    <t>6. ราคาผลผลิตที่เกษตรกรขายได้ ณ ไร่นา (บาท/กก.)</t>
  </si>
  <si>
    <t xml:space="preserve">7. ผลตอบแทนต่อไร่ </t>
  </si>
  <si>
    <t xml:space="preserve">9. ผลตอบแทนสุทธิต่อกิโลกรัม </t>
  </si>
  <si>
    <t xml:space="preserve">       ค่าสารอื่นๆและวัสดุปรับปรุงดิน</t>
  </si>
  <si>
    <t xml:space="preserve">4. ต้นทุนรวมต่อเกวียน (ตัน)   </t>
  </si>
  <si>
    <t>9. ผลตอบแทนสุทธิต่อตัน</t>
  </si>
  <si>
    <t>ตารางที่ 28  ต้นทุนการผลิตข้าวเหนียวนาปี แยกตามลักษณะความเหมาะสมของพื้นที่</t>
  </si>
  <si>
    <t>ตารางที่ 29 ต้นทุนการผลิตยางพารา แยกตามลักษณะความเหมาะสมของพื้นที่</t>
  </si>
  <si>
    <t>ตารางที่ 30  ต้นทุนการผลิตอ้อยโรงงาน แยกตามลักษณะความเหมาะสมของพื้นที่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</si>
</sst>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87" formatCode="_-* #,##0.00_-;\-* #,##0.00_-;_-* &quot;-&quot;??_-;_-@_-"/>
    <numFmt numFmtId="188" formatCode="_-* #,##0_-;\-* #,##0_-;_-* &quot;-&quot;??_-;_-@_-"/>
  </numFmts>
  <fonts count="12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4"/>
      <name val="CordiaUPC"/>
      <family val="2"/>
    </font>
    <font>
      <b/>
      <sz val="18"/>
      <name val="TH SarabunPSK"/>
      <family val="2"/>
    </font>
    <font>
      <sz val="14"/>
      <color indexed="8"/>
      <name val="TH SarabunPSK"/>
      <family val="2"/>
    </font>
    <font>
      <b/>
      <sz val="16"/>
      <name val="TH SarabunPSK"/>
      <family val="2"/>
    </font>
    <font>
      <sz val="16"/>
      <name val="TH SarabunPSK"/>
      <family val="2"/>
    </font>
    <font>
      <sz val="16"/>
      <color indexed="8"/>
      <name val="TH SarabunPSK"/>
      <family val="2"/>
    </font>
    <font>
      <sz val="16"/>
      <name val="Angsana New"/>
      <family val="1"/>
    </font>
    <font>
      <sz val="14"/>
      <name val="AngsanaUPC"/>
      <family val="1"/>
    </font>
    <font>
      <b/>
      <sz val="16"/>
      <color indexed="8"/>
      <name val="TH SarabunPSK"/>
      <family val="2"/>
    </font>
    <font>
      <b/>
      <sz val="16"/>
      <color theme="1"/>
      <name val="TH SarabunPSK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7">
    <xf numFmtId="0" fontId="0" fillId="0" borderId="0"/>
    <xf numFmtId="187" fontId="1" fillId="0" borderId="0" applyFont="0" applyFill="0" applyBorder="0" applyAlignment="0" applyProtection="0"/>
    <xf numFmtId="0" fontId="2" fillId="0" borderId="0"/>
    <xf numFmtId="187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</cellStyleXfs>
  <cellXfs count="80">
    <xf numFmtId="0" fontId="0" fillId="0" borderId="0" xfId="0"/>
    <xf numFmtId="2" fontId="3" fillId="0" borderId="0" xfId="2" applyNumberFormat="1" applyFont="1" applyFill="1" applyBorder="1" applyAlignment="1"/>
    <xf numFmtId="2" fontId="4" fillId="0" borderId="1" xfId="2" applyNumberFormat="1" applyFont="1" applyFill="1" applyBorder="1" applyAlignment="1"/>
    <xf numFmtId="2" fontId="3" fillId="0" borderId="2" xfId="2" applyNumberFormat="1" applyFont="1" applyFill="1" applyBorder="1" applyAlignment="1">
      <alignment horizontal="center" vertical="center"/>
    </xf>
    <xf numFmtId="2" fontId="3" fillId="0" borderId="6" xfId="2" applyNumberFormat="1" applyFont="1" applyFill="1" applyBorder="1" applyAlignment="1">
      <alignment horizontal="center" vertical="center"/>
    </xf>
    <xf numFmtId="2" fontId="3" fillId="0" borderId="8" xfId="2" applyNumberFormat="1" applyFont="1" applyFill="1" applyBorder="1" applyAlignment="1">
      <alignment horizontal="center" vertical="center"/>
    </xf>
    <xf numFmtId="49" fontId="5" fillId="0" borderId="8" xfId="2" applyNumberFormat="1" applyFont="1" applyFill="1" applyBorder="1" applyAlignment="1">
      <alignment horizontal="center" vertical="center"/>
    </xf>
    <xf numFmtId="2" fontId="5" fillId="0" borderId="9" xfId="2" applyNumberFormat="1" applyFont="1" applyFill="1" applyBorder="1" applyAlignment="1">
      <alignment vertical="center"/>
    </xf>
    <xf numFmtId="43" fontId="5" fillId="0" borderId="9" xfId="1" applyNumberFormat="1" applyFont="1" applyFill="1" applyBorder="1" applyAlignment="1">
      <alignment horizontal="right"/>
    </xf>
    <xf numFmtId="2" fontId="5" fillId="0" borderId="10" xfId="2" applyNumberFormat="1" applyFont="1" applyFill="1" applyBorder="1" applyAlignment="1">
      <alignment vertical="center"/>
    </xf>
    <xf numFmtId="43" fontId="5" fillId="0" borderId="10" xfId="1" applyNumberFormat="1" applyFont="1" applyFill="1" applyBorder="1" applyAlignment="1">
      <alignment horizontal="right"/>
    </xf>
    <xf numFmtId="2" fontId="6" fillId="0" borderId="10" xfId="2" applyNumberFormat="1" applyFont="1" applyFill="1" applyBorder="1" applyAlignment="1">
      <alignment vertical="center"/>
    </xf>
    <xf numFmtId="43" fontId="6" fillId="0" borderId="10" xfId="1" applyNumberFormat="1" applyFont="1" applyFill="1" applyBorder="1"/>
    <xf numFmtId="43" fontId="7" fillId="0" borderId="10" xfId="1" applyNumberFormat="1" applyFont="1" applyFill="1" applyBorder="1"/>
    <xf numFmtId="43" fontId="8" fillId="0" borderId="10" xfId="1" applyNumberFormat="1" applyFont="1" applyFill="1" applyBorder="1"/>
    <xf numFmtId="43" fontId="6" fillId="0" borderId="10" xfId="1" applyNumberFormat="1" applyFont="1" applyFill="1" applyBorder="1" applyAlignment="1">
      <alignment vertical="center"/>
    </xf>
    <xf numFmtId="43" fontId="7" fillId="0" borderId="10" xfId="1" applyNumberFormat="1" applyFont="1" applyFill="1" applyBorder="1" applyAlignment="1">
      <alignment vertical="center"/>
    </xf>
    <xf numFmtId="2" fontId="6" fillId="0" borderId="10" xfId="3" applyNumberFormat="1" applyFont="1" applyBorder="1" applyAlignment="1">
      <alignment vertical="center"/>
    </xf>
    <xf numFmtId="43" fontId="5" fillId="0" borderId="10" xfId="1" applyNumberFormat="1" applyFont="1" applyFill="1" applyBorder="1" applyAlignment="1">
      <alignment horizontal="right" vertical="center"/>
    </xf>
    <xf numFmtId="43" fontId="10" fillId="0" borderId="10" xfId="1" applyNumberFormat="1" applyFont="1" applyFill="1" applyBorder="1" applyAlignment="1">
      <alignment horizontal="right" vertical="center"/>
    </xf>
    <xf numFmtId="2" fontId="6" fillId="0" borderId="10" xfId="4" applyNumberFormat="1" applyFont="1" applyFill="1" applyBorder="1" applyAlignment="1">
      <alignment vertical="center"/>
    </xf>
    <xf numFmtId="2" fontId="5" fillId="0" borderId="10" xfId="4" applyNumberFormat="1" applyFont="1" applyFill="1" applyBorder="1" applyAlignment="1" applyProtection="1">
      <alignment horizontal="left" vertical="center"/>
    </xf>
    <xf numFmtId="187" fontId="5" fillId="0" borderId="10" xfId="1" applyNumberFormat="1" applyFont="1" applyBorder="1" applyAlignment="1">
      <alignment horizontal="right" vertical="center"/>
    </xf>
    <xf numFmtId="188" fontId="5" fillId="0" borderId="10" xfId="1" applyNumberFormat="1" applyFont="1" applyBorder="1" applyAlignment="1">
      <alignment horizontal="right" vertical="center"/>
    </xf>
    <xf numFmtId="2" fontId="6" fillId="0" borderId="10" xfId="4" applyNumberFormat="1" applyFont="1" applyFill="1" applyBorder="1" applyAlignment="1" applyProtection="1">
      <alignment horizontal="left" vertical="center"/>
    </xf>
    <xf numFmtId="2" fontId="5" fillId="0" borderId="11" xfId="4" applyNumberFormat="1" applyFont="1" applyFill="1" applyBorder="1" applyAlignment="1" applyProtection="1">
      <alignment horizontal="left" vertical="center"/>
    </xf>
    <xf numFmtId="187" fontId="5" fillId="0" borderId="11" xfId="1" applyNumberFormat="1" applyFont="1" applyBorder="1" applyAlignment="1">
      <alignment horizontal="right" vertical="center"/>
    </xf>
    <xf numFmtId="188" fontId="5" fillId="0" borderId="11" xfId="1" applyNumberFormat="1" applyFont="1" applyBorder="1" applyAlignment="1">
      <alignment horizontal="right" vertical="center"/>
    </xf>
    <xf numFmtId="43" fontId="3" fillId="0" borderId="0" xfId="5" applyFont="1" applyFill="1" applyBorder="1" applyAlignment="1"/>
    <xf numFmtId="43" fontId="5" fillId="0" borderId="0" xfId="5" applyFont="1" applyFill="1" applyBorder="1" applyAlignment="1">
      <alignment horizontal="right"/>
    </xf>
    <xf numFmtId="43" fontId="6" fillId="0" borderId="0" xfId="5" applyFont="1" applyFill="1" applyBorder="1" applyAlignment="1">
      <alignment horizontal="right"/>
    </xf>
    <xf numFmtId="43" fontId="5" fillId="0" borderId="0" xfId="5" applyFont="1" applyFill="1" applyBorder="1" applyAlignment="1"/>
    <xf numFmtId="187" fontId="6" fillId="0" borderId="0" xfId="5" applyNumberFormat="1" applyFont="1" applyFill="1"/>
    <xf numFmtId="0" fontId="6" fillId="0" borderId="0" xfId="6" applyFont="1" applyFill="1"/>
    <xf numFmtId="0" fontId="6" fillId="0" borderId="0" xfId="6" applyFont="1" applyFill="1" applyAlignment="1">
      <alignment vertical="center"/>
    </xf>
    <xf numFmtId="43" fontId="5" fillId="0" borderId="2" xfId="5" applyFont="1" applyFill="1" applyBorder="1" applyAlignment="1"/>
    <xf numFmtId="43" fontId="5" fillId="0" borderId="6" xfId="5" applyFont="1" applyFill="1" applyBorder="1" applyAlignment="1">
      <alignment horizontal="center" vertical="center"/>
    </xf>
    <xf numFmtId="43" fontId="5" fillId="0" borderId="8" xfId="5" applyFont="1" applyFill="1" applyBorder="1" applyAlignment="1">
      <alignment horizontal="center" vertical="center"/>
    </xf>
    <xf numFmtId="187" fontId="5" fillId="0" borderId="8" xfId="5" applyNumberFormat="1" applyFont="1" applyFill="1" applyBorder="1" applyAlignment="1">
      <alignment horizontal="center" vertical="center"/>
    </xf>
    <xf numFmtId="187" fontId="5" fillId="0" borderId="7" xfId="5" applyNumberFormat="1" applyFont="1" applyFill="1" applyBorder="1" applyAlignment="1">
      <alignment horizontal="center" vertical="center"/>
    </xf>
    <xf numFmtId="43" fontId="5" fillId="0" borderId="12" xfId="5" applyFont="1" applyFill="1" applyBorder="1" applyAlignment="1"/>
    <xf numFmtId="187" fontId="5" fillId="0" borderId="12" xfId="2" applyNumberFormat="1" applyFont="1" applyFill="1" applyBorder="1" applyAlignment="1">
      <alignment horizontal="right"/>
    </xf>
    <xf numFmtId="4" fontId="5" fillId="0" borderId="12" xfId="2" applyNumberFormat="1" applyFont="1" applyFill="1" applyBorder="1" applyAlignment="1">
      <alignment horizontal="right"/>
    </xf>
    <xf numFmtId="43" fontId="5" fillId="0" borderId="10" xfId="5" applyFont="1" applyFill="1" applyBorder="1" applyAlignment="1"/>
    <xf numFmtId="187" fontId="5" fillId="0" borderId="10" xfId="2" applyNumberFormat="1" applyFont="1" applyFill="1" applyBorder="1" applyAlignment="1">
      <alignment horizontal="right"/>
    </xf>
    <xf numFmtId="4" fontId="5" fillId="0" borderId="10" xfId="2" applyNumberFormat="1" applyFont="1" applyFill="1" applyBorder="1" applyAlignment="1">
      <alignment horizontal="right"/>
    </xf>
    <xf numFmtId="43" fontId="6" fillId="0" borderId="10" xfId="5" applyFont="1" applyFill="1" applyBorder="1" applyAlignment="1"/>
    <xf numFmtId="187" fontId="6" fillId="0" borderId="10" xfId="2" applyNumberFormat="1" applyFont="1" applyFill="1" applyBorder="1" applyAlignment="1">
      <alignment horizontal="right"/>
    </xf>
    <xf numFmtId="4" fontId="6" fillId="0" borderId="10" xfId="2" applyNumberFormat="1" applyFont="1" applyFill="1" applyBorder="1" applyAlignment="1"/>
    <xf numFmtId="43" fontId="6" fillId="0" borderId="10" xfId="5" applyFont="1" applyFill="1" applyBorder="1" applyAlignment="1">
      <alignment horizontal="left"/>
    </xf>
    <xf numFmtId="0" fontId="11" fillId="0" borderId="10" xfId="4" applyFont="1" applyBorder="1"/>
    <xf numFmtId="4" fontId="6" fillId="0" borderId="10" xfId="6" applyNumberFormat="1" applyFont="1" applyFill="1" applyBorder="1" applyAlignment="1"/>
    <xf numFmtId="43" fontId="6" fillId="0" borderId="0" xfId="5" applyFont="1" applyFill="1"/>
    <xf numFmtId="4" fontId="5" fillId="0" borderId="10" xfId="6" applyNumberFormat="1" applyFont="1" applyFill="1" applyBorder="1" applyAlignment="1"/>
    <xf numFmtId="4" fontId="5" fillId="0" borderId="11" xfId="6" applyNumberFormat="1" applyFont="1" applyFill="1" applyBorder="1" applyAlignment="1"/>
    <xf numFmtId="4" fontId="6" fillId="0" borderId="0" xfId="2" applyNumberFormat="1" applyFont="1" applyFill="1" applyBorder="1" applyAlignment="1"/>
    <xf numFmtId="0" fontId="6" fillId="0" borderId="0" xfId="2" applyFont="1" applyFill="1"/>
    <xf numFmtId="43" fontId="6" fillId="0" borderId="0" xfId="5" applyFont="1" applyFill="1" applyBorder="1" applyAlignment="1"/>
    <xf numFmtId="4" fontId="6" fillId="0" borderId="13" xfId="5" applyNumberFormat="1" applyFont="1" applyFill="1" applyBorder="1" applyAlignment="1">
      <alignment horizontal="center"/>
    </xf>
    <xf numFmtId="4" fontId="6" fillId="0" borderId="14" xfId="5" applyNumberFormat="1" applyFont="1" applyFill="1" applyBorder="1" applyAlignment="1">
      <alignment horizontal="center"/>
    </xf>
    <xf numFmtId="4" fontId="6" fillId="0" borderId="15" xfId="5" applyNumberFormat="1" applyFont="1" applyFill="1" applyBorder="1" applyAlignment="1">
      <alignment horizontal="center"/>
    </xf>
    <xf numFmtId="4" fontId="6" fillId="0" borderId="13" xfId="2" applyNumberFormat="1" applyFont="1" applyFill="1" applyBorder="1" applyAlignment="1">
      <alignment horizontal="center"/>
    </xf>
    <xf numFmtId="4" fontId="6" fillId="0" borderId="14" xfId="2" applyNumberFormat="1" applyFont="1" applyFill="1" applyBorder="1" applyAlignment="1">
      <alignment horizontal="center"/>
    </xf>
    <xf numFmtId="4" fontId="6" fillId="0" borderId="15" xfId="2" applyNumberFormat="1" applyFont="1" applyFill="1" applyBorder="1" applyAlignment="1">
      <alignment horizontal="center"/>
    </xf>
    <xf numFmtId="49" fontId="3" fillId="0" borderId="3" xfId="2" applyNumberFormat="1" applyFont="1" applyFill="1" applyBorder="1" applyAlignment="1">
      <alignment horizontal="center" vertical="center"/>
    </xf>
    <xf numFmtId="49" fontId="3" fillId="0" borderId="4" xfId="2" applyNumberFormat="1" applyFont="1" applyFill="1" applyBorder="1" applyAlignment="1">
      <alignment horizontal="center" vertical="center"/>
    </xf>
    <xf numFmtId="49" fontId="3" fillId="0" borderId="5" xfId="2" applyNumberFormat="1" applyFont="1" applyFill="1" applyBorder="1" applyAlignment="1">
      <alignment horizontal="center" vertical="center"/>
    </xf>
    <xf numFmtId="49" fontId="3" fillId="0" borderId="7" xfId="2" applyNumberFormat="1" applyFont="1" applyFill="1" applyBorder="1" applyAlignment="1">
      <alignment horizontal="center" vertical="center"/>
    </xf>
    <xf numFmtId="187" fontId="5" fillId="0" borderId="3" xfId="5" applyNumberFormat="1" applyFont="1" applyFill="1" applyBorder="1" applyAlignment="1">
      <alignment horizontal="center" vertical="center"/>
    </xf>
    <xf numFmtId="187" fontId="5" fillId="0" borderId="4" xfId="5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87" fontId="5" fillId="0" borderId="5" xfId="5" applyNumberFormat="1" applyFont="1" applyFill="1" applyBorder="1" applyAlignment="1">
      <alignment horizontal="center" vertical="center"/>
    </xf>
    <xf numFmtId="2" fontId="6" fillId="0" borderId="16" xfId="5" applyNumberFormat="1" applyFont="1" applyFill="1" applyBorder="1" applyAlignment="1">
      <alignment horizontal="center"/>
    </xf>
    <xf numFmtId="2" fontId="6" fillId="0" borderId="17" xfId="5" applyNumberFormat="1" applyFont="1" applyFill="1" applyBorder="1" applyAlignment="1">
      <alignment horizontal="center"/>
    </xf>
    <xf numFmtId="2" fontId="6" fillId="0" borderId="18" xfId="5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Fill="1"/>
    <xf numFmtId="4" fontId="5" fillId="0" borderId="10" xfId="5" applyNumberFormat="1" applyFont="1" applyFill="1" applyBorder="1" applyAlignment="1">
      <alignment horizontal="right"/>
    </xf>
    <xf numFmtId="4" fontId="5" fillId="0" borderId="11" xfId="5" applyNumberFormat="1" applyFont="1" applyFill="1" applyBorder="1" applyAlignment="1">
      <alignment horizontal="right"/>
    </xf>
  </cellXfs>
  <cellStyles count="7">
    <cellStyle name="เครื่องหมายจุลภาค" xfId="1" builtinId="3"/>
    <cellStyle name="เครื่องหมายจุลภาค 2" xfId="5"/>
    <cellStyle name="เครื่องหมายจุลภาค 3" xfId="3"/>
    <cellStyle name="ปกติ" xfId="0" builtinId="0"/>
    <cellStyle name="ปกติ 2" xfId="6"/>
    <cellStyle name="ปกติ 3" xfId="4"/>
    <cellStyle name="ปกติ_ประมาณการเดือน ธค.2547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"/>
  <sheetViews>
    <sheetView workbookViewId="0">
      <selection activeCell="B8" sqref="B8"/>
    </sheetView>
  </sheetViews>
  <sheetFormatPr defaultRowHeight="14.25"/>
  <cols>
    <col min="1" max="1" width="38" customWidth="1"/>
    <col min="2" max="7" width="11.625" customWidth="1"/>
  </cols>
  <sheetData>
    <row r="1" spans="1:7" ht="27.75">
      <c r="A1" s="1" t="s">
        <v>62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2"/>
      <c r="E2" s="2"/>
      <c r="F2" s="2"/>
      <c r="G2" s="2" t="s">
        <v>0</v>
      </c>
    </row>
    <row r="3" spans="1:7" ht="27.75">
      <c r="A3" s="3"/>
      <c r="B3" s="64" t="s">
        <v>33</v>
      </c>
      <c r="C3" s="65"/>
      <c r="D3" s="65"/>
      <c r="E3" s="65"/>
      <c r="F3" s="65"/>
      <c r="G3" s="66"/>
    </row>
    <row r="4" spans="1:7" ht="27.75">
      <c r="A4" s="4" t="s">
        <v>1</v>
      </c>
      <c r="B4" s="67" t="s">
        <v>2</v>
      </c>
      <c r="C4" s="67"/>
      <c r="D4" s="67"/>
      <c r="E4" s="67" t="s">
        <v>3</v>
      </c>
      <c r="F4" s="67"/>
      <c r="G4" s="67"/>
    </row>
    <row r="5" spans="1:7" ht="27.75">
      <c r="A5" s="5"/>
      <c r="B5" s="6" t="s">
        <v>4</v>
      </c>
      <c r="C5" s="6" t="s">
        <v>5</v>
      </c>
      <c r="D5" s="6" t="s">
        <v>6</v>
      </c>
      <c r="E5" s="6" t="s">
        <v>4</v>
      </c>
      <c r="F5" s="6" t="s">
        <v>5</v>
      </c>
      <c r="G5" s="6" t="s">
        <v>6</v>
      </c>
    </row>
    <row r="6" spans="1:7" ht="24">
      <c r="A6" s="7" t="s">
        <v>7</v>
      </c>
      <c r="B6" s="8">
        <f t="shared" ref="B6:G6" si="0">+B7+B12+B19</f>
        <v>1640.67</v>
      </c>
      <c r="C6" s="8">
        <f t="shared" si="0"/>
        <v>1723.26</v>
      </c>
      <c r="D6" s="8">
        <f t="shared" si="0"/>
        <v>3363.9300000000003</v>
      </c>
      <c r="E6" s="8">
        <f t="shared" si="0"/>
        <v>2144.1</v>
      </c>
      <c r="F6" s="8">
        <f t="shared" si="0"/>
        <v>1515.77</v>
      </c>
      <c r="G6" s="8">
        <f t="shared" si="0"/>
        <v>3659.8700000000003</v>
      </c>
    </row>
    <row r="7" spans="1:7" ht="24">
      <c r="A7" s="9" t="s">
        <v>8</v>
      </c>
      <c r="B7" s="10">
        <f t="shared" ref="B7:G7" si="1">+B8+B9+B10+B11</f>
        <v>982.04</v>
      </c>
      <c r="C7" s="10">
        <f t="shared" si="1"/>
        <v>1410.63</v>
      </c>
      <c r="D7" s="10">
        <f t="shared" si="1"/>
        <v>2392.67</v>
      </c>
      <c r="E7" s="10">
        <f t="shared" si="1"/>
        <v>1368.84</v>
      </c>
      <c r="F7" s="10">
        <f t="shared" si="1"/>
        <v>1150.8399999999999</v>
      </c>
      <c r="G7" s="10">
        <f t="shared" si="1"/>
        <v>2519.6800000000003</v>
      </c>
    </row>
    <row r="8" spans="1:7" ht="24">
      <c r="A8" s="11" t="s">
        <v>9</v>
      </c>
      <c r="B8" s="12">
        <v>418.59</v>
      </c>
      <c r="C8" s="12">
        <v>307.85000000000002</v>
      </c>
      <c r="D8" s="12">
        <f>+B8+C8</f>
        <v>726.44</v>
      </c>
      <c r="E8" s="12">
        <v>517.92999999999995</v>
      </c>
      <c r="F8" s="12">
        <v>251.17</v>
      </c>
      <c r="G8" s="12">
        <f>+E8+F8</f>
        <v>769.09999999999991</v>
      </c>
    </row>
    <row r="9" spans="1:7" ht="24">
      <c r="A9" s="11" t="s">
        <v>10</v>
      </c>
      <c r="B9" s="13">
        <v>155.37</v>
      </c>
      <c r="C9" s="13">
        <v>363.87</v>
      </c>
      <c r="D9" s="12">
        <f t="shared" ref="D9:D18" si="2">+B9+C9</f>
        <v>519.24</v>
      </c>
      <c r="E9" s="13">
        <v>312.19</v>
      </c>
      <c r="F9" s="13">
        <v>334.96</v>
      </c>
      <c r="G9" s="12">
        <f t="shared" ref="G9:G11" si="3">+E9+F9</f>
        <v>647.15</v>
      </c>
    </row>
    <row r="10" spans="1:7" ht="24">
      <c r="A10" s="11" t="s">
        <v>11</v>
      </c>
      <c r="B10" s="13">
        <v>12.4</v>
      </c>
      <c r="C10" s="13">
        <v>235.97</v>
      </c>
      <c r="D10" s="12">
        <f t="shared" si="2"/>
        <v>248.37</v>
      </c>
      <c r="E10" s="13">
        <v>16.72</v>
      </c>
      <c r="F10" s="13">
        <v>222.29</v>
      </c>
      <c r="G10" s="12">
        <f t="shared" si="3"/>
        <v>239.01</v>
      </c>
    </row>
    <row r="11" spans="1:7" ht="24">
      <c r="A11" s="11" t="s">
        <v>12</v>
      </c>
      <c r="B11" s="13">
        <v>395.68</v>
      </c>
      <c r="C11" s="13">
        <v>502.94</v>
      </c>
      <c r="D11" s="12">
        <f t="shared" si="2"/>
        <v>898.62</v>
      </c>
      <c r="E11" s="13">
        <v>522</v>
      </c>
      <c r="F11" s="13">
        <v>342.42</v>
      </c>
      <c r="G11" s="12">
        <f t="shared" si="3"/>
        <v>864.42000000000007</v>
      </c>
    </row>
    <row r="12" spans="1:7" ht="24">
      <c r="A12" s="9" t="s">
        <v>13</v>
      </c>
      <c r="B12" s="10">
        <f t="shared" ref="B12:G12" si="4">+B13+B14+B15+B16+B17+B18</f>
        <v>658.63</v>
      </c>
      <c r="C12" s="10">
        <f t="shared" si="4"/>
        <v>198.87</v>
      </c>
      <c r="D12" s="10">
        <f t="shared" si="4"/>
        <v>857.5</v>
      </c>
      <c r="E12" s="10">
        <f t="shared" si="4"/>
        <v>775.2600000000001</v>
      </c>
      <c r="F12" s="10">
        <f t="shared" si="4"/>
        <v>241.17000000000002</v>
      </c>
      <c r="G12" s="10">
        <f t="shared" si="4"/>
        <v>1016.43</v>
      </c>
    </row>
    <row r="13" spans="1:7" ht="24">
      <c r="A13" s="11" t="s">
        <v>14</v>
      </c>
      <c r="B13" s="13">
        <v>30.08</v>
      </c>
      <c r="C13" s="13">
        <v>153.59</v>
      </c>
      <c r="D13" s="13">
        <f t="shared" si="2"/>
        <v>183.67000000000002</v>
      </c>
      <c r="E13" s="13">
        <v>32.33</v>
      </c>
      <c r="F13" s="13">
        <v>178</v>
      </c>
      <c r="G13" s="13">
        <f>+E13+F13</f>
        <v>210.32999999999998</v>
      </c>
    </row>
    <row r="14" spans="1:7" ht="24">
      <c r="A14" s="11" t="s">
        <v>15</v>
      </c>
      <c r="B14" s="13">
        <v>358.26</v>
      </c>
      <c r="C14" s="13">
        <v>0</v>
      </c>
      <c r="D14" s="13">
        <f t="shared" si="2"/>
        <v>358.26</v>
      </c>
      <c r="E14" s="13">
        <v>532.23</v>
      </c>
      <c r="F14" s="13">
        <v>42.52</v>
      </c>
      <c r="G14" s="13">
        <f t="shared" ref="G14:G18" si="5">+E14+F14</f>
        <v>574.75</v>
      </c>
    </row>
    <row r="15" spans="1:7" ht="24">
      <c r="A15" s="11" t="s">
        <v>16</v>
      </c>
      <c r="B15" s="13">
        <v>39.26</v>
      </c>
      <c r="C15" s="13">
        <v>0</v>
      </c>
      <c r="D15" s="13">
        <f t="shared" si="2"/>
        <v>39.26</v>
      </c>
      <c r="E15" s="13">
        <v>17.41</v>
      </c>
      <c r="F15" s="13">
        <v>0</v>
      </c>
      <c r="G15" s="13">
        <f t="shared" si="5"/>
        <v>17.41</v>
      </c>
    </row>
    <row r="16" spans="1:7" ht="24">
      <c r="A16" s="11" t="s">
        <v>18</v>
      </c>
      <c r="B16" s="16">
        <v>54.04</v>
      </c>
      <c r="C16" s="16">
        <v>0</v>
      </c>
      <c r="D16" s="13">
        <f t="shared" si="2"/>
        <v>54.04</v>
      </c>
      <c r="E16" s="16">
        <v>34.229999999999997</v>
      </c>
      <c r="F16" s="16">
        <v>0</v>
      </c>
      <c r="G16" s="13">
        <f t="shared" si="5"/>
        <v>34.229999999999997</v>
      </c>
    </row>
    <row r="17" spans="1:7" ht="24">
      <c r="A17" s="17" t="s">
        <v>19</v>
      </c>
      <c r="B17" s="16">
        <v>164.79</v>
      </c>
      <c r="C17" s="16">
        <v>44.12</v>
      </c>
      <c r="D17" s="13">
        <f t="shared" si="2"/>
        <v>208.91</v>
      </c>
      <c r="E17" s="16">
        <v>157.97999999999999</v>
      </c>
      <c r="F17" s="16">
        <v>20.04</v>
      </c>
      <c r="G17" s="13">
        <f t="shared" si="5"/>
        <v>178.01999999999998</v>
      </c>
    </row>
    <row r="18" spans="1:7" ht="24">
      <c r="A18" s="11" t="s">
        <v>20</v>
      </c>
      <c r="B18" s="16">
        <v>12.2</v>
      </c>
      <c r="C18" s="16">
        <v>1.1599999999999999</v>
      </c>
      <c r="D18" s="13">
        <f t="shared" si="2"/>
        <v>13.36</v>
      </c>
      <c r="E18" s="16">
        <v>1.08</v>
      </c>
      <c r="F18" s="16">
        <v>0.61</v>
      </c>
      <c r="G18" s="13">
        <f t="shared" si="5"/>
        <v>1.69</v>
      </c>
    </row>
    <row r="19" spans="1:7" ht="24">
      <c r="A19" s="9" t="s">
        <v>21</v>
      </c>
      <c r="B19" s="19"/>
      <c r="C19" s="19">
        <f>ROUND((B7+C7+B12+C12)*0.07*6/12,2)</f>
        <v>113.76</v>
      </c>
      <c r="D19" s="19">
        <f>ROUND((D7+D12)*0.07*6/12,2)</f>
        <v>113.76</v>
      </c>
      <c r="E19" s="19"/>
      <c r="F19" s="19">
        <f>ROUND((E7+F7+E12+F12)*0.07*6/12,2)</f>
        <v>123.76</v>
      </c>
      <c r="G19" s="19">
        <f>ROUND((G7+G12)*0.07*6/12,2)</f>
        <v>123.76</v>
      </c>
    </row>
    <row r="20" spans="1:7" ht="24">
      <c r="A20" s="9" t="s">
        <v>22</v>
      </c>
      <c r="B20" s="18">
        <f t="shared" ref="B20:G20" si="6">+B21+B22+B23</f>
        <v>0</v>
      </c>
      <c r="C20" s="18">
        <f t="shared" si="6"/>
        <v>994.54000000000008</v>
      </c>
      <c r="D20" s="18">
        <f t="shared" si="6"/>
        <v>994.54000000000008</v>
      </c>
      <c r="E20" s="18">
        <f t="shared" si="6"/>
        <v>0</v>
      </c>
      <c r="F20" s="18">
        <f t="shared" si="6"/>
        <v>1227.83</v>
      </c>
      <c r="G20" s="18">
        <f t="shared" si="6"/>
        <v>1227.83</v>
      </c>
    </row>
    <row r="21" spans="1:7" ht="24">
      <c r="A21" s="11" t="s">
        <v>23</v>
      </c>
      <c r="B21" s="16">
        <v>0</v>
      </c>
      <c r="C21" s="16">
        <v>716.48</v>
      </c>
      <c r="D21" s="16">
        <f t="shared" ref="D21:D23" si="7">+B21+C21</f>
        <v>716.48</v>
      </c>
      <c r="E21" s="16">
        <v>0</v>
      </c>
      <c r="F21" s="16">
        <v>1026.7</v>
      </c>
      <c r="G21" s="16">
        <f>+E21+F21</f>
        <v>1026.7</v>
      </c>
    </row>
    <row r="22" spans="1:7" ht="24">
      <c r="A22" s="11" t="s">
        <v>24</v>
      </c>
      <c r="B22" s="16">
        <v>0</v>
      </c>
      <c r="C22" s="16">
        <v>214.43</v>
      </c>
      <c r="D22" s="16">
        <f t="shared" si="7"/>
        <v>214.43</v>
      </c>
      <c r="E22" s="16">
        <v>0</v>
      </c>
      <c r="F22" s="16">
        <v>118.06</v>
      </c>
      <c r="G22" s="16">
        <f t="shared" ref="G22:G23" si="8">+E22+F22</f>
        <v>118.06</v>
      </c>
    </row>
    <row r="23" spans="1:7" ht="24">
      <c r="A23" s="20" t="s">
        <v>25</v>
      </c>
      <c r="B23" s="16">
        <v>0</v>
      </c>
      <c r="C23" s="16">
        <v>63.63</v>
      </c>
      <c r="D23" s="16">
        <f t="shared" si="7"/>
        <v>63.63</v>
      </c>
      <c r="E23" s="16">
        <v>0</v>
      </c>
      <c r="F23" s="16">
        <v>83.07</v>
      </c>
      <c r="G23" s="16">
        <f t="shared" si="8"/>
        <v>83.07</v>
      </c>
    </row>
    <row r="24" spans="1:7" ht="24">
      <c r="A24" s="9" t="s">
        <v>26</v>
      </c>
      <c r="B24" s="18">
        <f t="shared" ref="B24:G24" si="9">+B6+B20</f>
        <v>1640.67</v>
      </c>
      <c r="C24" s="18">
        <f t="shared" si="9"/>
        <v>2717.8</v>
      </c>
      <c r="D24" s="18">
        <f t="shared" si="9"/>
        <v>4358.47</v>
      </c>
      <c r="E24" s="18">
        <f t="shared" si="9"/>
        <v>2144.1</v>
      </c>
      <c r="F24" s="18">
        <f t="shared" si="9"/>
        <v>2743.6</v>
      </c>
      <c r="G24" s="18">
        <f t="shared" si="9"/>
        <v>4887.7000000000007</v>
      </c>
    </row>
    <row r="25" spans="1:7" ht="24">
      <c r="A25" s="21" t="s">
        <v>60</v>
      </c>
      <c r="B25" s="18">
        <f>ROUND(B24/B26*1000,2)</f>
        <v>4207.71</v>
      </c>
      <c r="C25" s="18">
        <f>ROUND(C24/B26*1000,2)</f>
        <v>6970.15</v>
      </c>
      <c r="D25" s="18">
        <f>ROUND(D24/B26*1000,2)</f>
        <v>11177.86</v>
      </c>
      <c r="E25" s="18">
        <f>ROUND(E24/E26*1000,2)</f>
        <v>5971.92</v>
      </c>
      <c r="F25" s="18">
        <f>ROUND(F24/E26*1000,2)</f>
        <v>7641.7</v>
      </c>
      <c r="G25" s="18">
        <f>ROUND(G24/E26*1000,2)</f>
        <v>13613.63</v>
      </c>
    </row>
    <row r="26" spans="1:7" s="76" customFormat="1" ht="24">
      <c r="A26" s="24" t="s">
        <v>28</v>
      </c>
      <c r="B26" s="61">
        <v>389.92</v>
      </c>
      <c r="C26" s="62"/>
      <c r="D26" s="63"/>
      <c r="E26" s="61">
        <v>359.03</v>
      </c>
      <c r="F26" s="62"/>
      <c r="G26" s="63"/>
    </row>
    <row r="27" spans="1:7" s="77" customFormat="1" ht="24">
      <c r="A27" s="24" t="s">
        <v>29</v>
      </c>
      <c r="B27" s="73">
        <v>12.02</v>
      </c>
      <c r="C27" s="74"/>
      <c r="D27" s="75"/>
      <c r="E27" s="73">
        <v>12.02</v>
      </c>
      <c r="F27" s="74"/>
      <c r="G27" s="75"/>
    </row>
    <row r="28" spans="1:7" s="76" customFormat="1" ht="24">
      <c r="A28" s="24" t="s">
        <v>30</v>
      </c>
      <c r="B28" s="58">
        <f>B26*B27</f>
        <v>4686.8383999999996</v>
      </c>
      <c r="C28" s="59"/>
      <c r="D28" s="60"/>
      <c r="E28" s="58">
        <f>E26*E27</f>
        <v>4315.5405999999994</v>
      </c>
      <c r="F28" s="59"/>
      <c r="G28" s="60"/>
    </row>
    <row r="29" spans="1:7" ht="24">
      <c r="A29" s="21" t="s">
        <v>31</v>
      </c>
      <c r="B29" s="22">
        <f>+B28-B24</f>
        <v>3046.1683999999996</v>
      </c>
      <c r="C29" s="23"/>
      <c r="D29" s="22">
        <f>+B28-D24</f>
        <v>328.36839999999938</v>
      </c>
      <c r="E29" s="22">
        <f>+E28-E24</f>
        <v>2171.4405999999994</v>
      </c>
      <c r="F29" s="23"/>
      <c r="G29" s="22">
        <f>+E28-G24</f>
        <v>-572.15940000000137</v>
      </c>
    </row>
    <row r="30" spans="1:7" ht="24">
      <c r="A30" s="25" t="s">
        <v>61</v>
      </c>
      <c r="B30" s="26">
        <f>+ROUND(B29/B26*1000,2)</f>
        <v>7812.29</v>
      </c>
      <c r="C30" s="27"/>
      <c r="D30" s="26">
        <f>+ROUND(D29/B26*1000,2)</f>
        <v>842.14</v>
      </c>
      <c r="E30" s="26">
        <f>+ROUND(E29/E26*1000,2)</f>
        <v>6048.08</v>
      </c>
      <c r="F30" s="27"/>
      <c r="G30" s="26">
        <f>+ROUND(G29/E26*1000,2)</f>
        <v>-1593.63</v>
      </c>
    </row>
  </sheetData>
  <mergeCells count="9">
    <mergeCell ref="B28:D28"/>
    <mergeCell ref="E26:G26"/>
    <mergeCell ref="E27:G27"/>
    <mergeCell ref="E28:G28"/>
    <mergeCell ref="B3:G3"/>
    <mergeCell ref="B4:D4"/>
    <mergeCell ref="E4:G4"/>
    <mergeCell ref="B26:D26"/>
    <mergeCell ref="B27:D27"/>
  </mergeCells>
  <pageMargins left="0.18" right="0.17" top="0.75" bottom="0.75" header="0.3" footer="0.3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1"/>
  <sheetViews>
    <sheetView topLeftCell="A16" workbookViewId="0">
      <selection activeCell="B26" sqref="B26:D26"/>
    </sheetView>
  </sheetViews>
  <sheetFormatPr defaultColWidth="9" defaultRowHeight="24"/>
  <cols>
    <col min="1" max="1" width="38.625" style="57" customWidth="1"/>
    <col min="2" max="7" width="11.75" style="30" customWidth="1"/>
    <col min="8" max="16384" width="9" style="30"/>
  </cols>
  <sheetData>
    <row r="1" spans="1:7" ht="27.75">
      <c r="A1" s="28" t="s">
        <v>63</v>
      </c>
      <c r="B1" s="29"/>
      <c r="C1" s="29"/>
      <c r="D1" s="29"/>
      <c r="E1" s="29"/>
      <c r="F1" s="29"/>
      <c r="G1" s="29"/>
    </row>
    <row r="2" spans="1:7">
      <c r="A2" s="31"/>
      <c r="B2" s="32"/>
      <c r="C2" s="33"/>
      <c r="D2" s="33"/>
      <c r="E2" s="33"/>
      <c r="F2" s="33"/>
      <c r="G2" s="34" t="s">
        <v>36</v>
      </c>
    </row>
    <row r="3" spans="1:7">
      <c r="A3" s="35"/>
      <c r="B3" s="68" t="s">
        <v>33</v>
      </c>
      <c r="C3" s="69"/>
      <c r="D3" s="69"/>
      <c r="E3" s="70"/>
      <c r="F3" s="70"/>
      <c r="G3" s="71"/>
    </row>
    <row r="4" spans="1:7">
      <c r="A4" s="36" t="s">
        <v>1</v>
      </c>
      <c r="B4" s="68" t="s">
        <v>2</v>
      </c>
      <c r="C4" s="69"/>
      <c r="D4" s="69"/>
      <c r="E4" s="68" t="s">
        <v>3</v>
      </c>
      <c r="F4" s="69"/>
      <c r="G4" s="72"/>
    </row>
    <row r="5" spans="1:7">
      <c r="A5" s="37"/>
      <c r="B5" s="38" t="s">
        <v>4</v>
      </c>
      <c r="C5" s="38" t="s">
        <v>37</v>
      </c>
      <c r="D5" s="39" t="s">
        <v>6</v>
      </c>
      <c r="E5" s="38" t="s">
        <v>4</v>
      </c>
      <c r="F5" s="38" t="s">
        <v>37</v>
      </c>
      <c r="G5" s="39" t="s">
        <v>6</v>
      </c>
    </row>
    <row r="6" spans="1:7">
      <c r="A6" s="40" t="s">
        <v>38</v>
      </c>
      <c r="B6" s="41">
        <f t="shared" ref="B6:G6" si="0">B7+B10+B17</f>
        <v>1783.44</v>
      </c>
      <c r="C6" s="41">
        <f t="shared" si="0"/>
        <v>3293.09</v>
      </c>
      <c r="D6" s="42">
        <f t="shared" si="0"/>
        <v>5076.53</v>
      </c>
      <c r="E6" s="41">
        <f t="shared" si="0"/>
        <v>1371.4899999999998</v>
      </c>
      <c r="F6" s="41">
        <f t="shared" si="0"/>
        <v>3216.53</v>
      </c>
      <c r="G6" s="42">
        <f t="shared" si="0"/>
        <v>4588.0199999999995</v>
      </c>
    </row>
    <row r="7" spans="1:7">
      <c r="A7" s="43" t="s">
        <v>39</v>
      </c>
      <c r="B7" s="44">
        <f t="shared" ref="B7:G7" si="1">SUM(B8:B9)</f>
        <v>864.69999999999993</v>
      </c>
      <c r="C7" s="44">
        <f t="shared" si="1"/>
        <v>2960.19</v>
      </c>
      <c r="D7" s="45">
        <f t="shared" si="1"/>
        <v>3824.8900000000003</v>
      </c>
      <c r="E7" s="44">
        <f t="shared" si="1"/>
        <v>391.09000000000003</v>
      </c>
      <c r="F7" s="44">
        <f t="shared" si="1"/>
        <v>2914.69</v>
      </c>
      <c r="G7" s="45">
        <f t="shared" si="1"/>
        <v>3305.7799999999997</v>
      </c>
    </row>
    <row r="8" spans="1:7">
      <c r="A8" s="46" t="s">
        <v>40</v>
      </c>
      <c r="B8" s="47">
        <v>98.9</v>
      </c>
      <c r="C8" s="47">
        <v>275.94</v>
      </c>
      <c r="D8" s="47">
        <f>SUM(B8:C8)</f>
        <v>374.84000000000003</v>
      </c>
      <c r="E8" s="47">
        <v>163.36000000000001</v>
      </c>
      <c r="F8" s="47">
        <v>147.03</v>
      </c>
      <c r="G8" s="47">
        <f>SUM(E8:F8)</f>
        <v>310.39</v>
      </c>
    </row>
    <row r="9" spans="1:7">
      <c r="A9" s="46" t="s">
        <v>41</v>
      </c>
      <c r="B9" s="47">
        <v>765.8</v>
      </c>
      <c r="C9" s="47">
        <v>2684.25</v>
      </c>
      <c r="D9" s="47">
        <f>SUM(B9:C9)</f>
        <v>3450.05</v>
      </c>
      <c r="E9" s="47">
        <v>227.73</v>
      </c>
      <c r="F9" s="47">
        <v>2767.66</v>
      </c>
      <c r="G9" s="47">
        <f>SUM(E9:F9)</f>
        <v>2995.39</v>
      </c>
    </row>
    <row r="10" spans="1:7">
      <c r="A10" s="43" t="s">
        <v>42</v>
      </c>
      <c r="B10" s="44">
        <f>SUM(B11:B16)</f>
        <v>918.74</v>
      </c>
      <c r="C10" s="45">
        <f t="shared" ref="C10:G10" si="2">SUM(C11:C16)</f>
        <v>0.79</v>
      </c>
      <c r="D10" s="45">
        <f>SUM(D11:D16)</f>
        <v>919.53</v>
      </c>
      <c r="E10" s="44">
        <f t="shared" si="2"/>
        <v>980.39999999999986</v>
      </c>
      <c r="F10" s="44">
        <f t="shared" si="2"/>
        <v>1.69</v>
      </c>
      <c r="G10" s="45">
        <f t="shared" si="2"/>
        <v>982.08999999999992</v>
      </c>
    </row>
    <row r="11" spans="1:7">
      <c r="A11" s="46" t="s">
        <v>43</v>
      </c>
      <c r="B11" s="47">
        <v>641.89</v>
      </c>
      <c r="C11" s="47">
        <v>0</v>
      </c>
      <c r="D11" s="47">
        <f t="shared" ref="D11:D17" si="3">SUM(B11:C11)</f>
        <v>641.89</v>
      </c>
      <c r="E11" s="47">
        <v>704.22</v>
      </c>
      <c r="F11" s="47">
        <v>0</v>
      </c>
      <c r="G11" s="47">
        <f t="shared" ref="G11:G17" si="4">SUM(E11:F11)</f>
        <v>704.22</v>
      </c>
    </row>
    <row r="12" spans="1:7">
      <c r="A12" s="46" t="s">
        <v>44</v>
      </c>
      <c r="B12" s="47">
        <v>21.38</v>
      </c>
      <c r="C12" s="47">
        <v>0</v>
      </c>
      <c r="D12" s="47">
        <f t="shared" si="3"/>
        <v>21.38</v>
      </c>
      <c r="E12" s="47">
        <v>81.64</v>
      </c>
      <c r="F12" s="47">
        <v>0</v>
      </c>
      <c r="G12" s="47">
        <f t="shared" si="4"/>
        <v>81.64</v>
      </c>
    </row>
    <row r="13" spans="1:7">
      <c r="A13" s="46" t="s">
        <v>59</v>
      </c>
      <c r="B13" s="47">
        <v>139.18</v>
      </c>
      <c r="C13" s="47">
        <v>0</v>
      </c>
      <c r="D13" s="47">
        <f t="shared" si="3"/>
        <v>139.18</v>
      </c>
      <c r="E13" s="47">
        <v>79.69</v>
      </c>
      <c r="F13" s="47">
        <v>0</v>
      </c>
      <c r="G13" s="47">
        <f t="shared" si="4"/>
        <v>79.69</v>
      </c>
    </row>
    <row r="14" spans="1:7">
      <c r="A14" s="48" t="s">
        <v>45</v>
      </c>
      <c r="B14" s="47">
        <v>29.15</v>
      </c>
      <c r="C14" s="47">
        <v>0</v>
      </c>
      <c r="D14" s="47">
        <f t="shared" si="3"/>
        <v>29.15</v>
      </c>
      <c r="E14" s="47">
        <v>26.17</v>
      </c>
      <c r="F14" s="47">
        <v>0</v>
      </c>
      <c r="G14" s="47">
        <f t="shared" si="4"/>
        <v>26.17</v>
      </c>
    </row>
    <row r="15" spans="1:7">
      <c r="A15" s="49" t="s">
        <v>46</v>
      </c>
      <c r="B15" s="47">
        <v>86.67</v>
      </c>
      <c r="C15" s="47">
        <v>0</v>
      </c>
      <c r="D15" s="47">
        <f t="shared" si="3"/>
        <v>86.67</v>
      </c>
      <c r="E15" s="47">
        <v>88.03</v>
      </c>
      <c r="F15" s="47">
        <v>0</v>
      </c>
      <c r="G15" s="47">
        <f t="shared" si="4"/>
        <v>88.03</v>
      </c>
    </row>
    <row r="16" spans="1:7">
      <c r="A16" s="46" t="s">
        <v>47</v>
      </c>
      <c r="B16" s="47">
        <v>0.47</v>
      </c>
      <c r="C16" s="47">
        <v>0.79</v>
      </c>
      <c r="D16" s="47">
        <f t="shared" si="3"/>
        <v>1.26</v>
      </c>
      <c r="E16" s="47">
        <v>0.65</v>
      </c>
      <c r="F16" s="47">
        <v>1.69</v>
      </c>
      <c r="G16" s="47">
        <f t="shared" si="4"/>
        <v>2.34</v>
      </c>
    </row>
    <row r="17" spans="1:7">
      <c r="A17" s="50" t="s">
        <v>48</v>
      </c>
      <c r="B17" s="44"/>
      <c r="C17" s="44">
        <f>ROUND(((C7+C10)*0.07),2)+ROUND(((B7+B10)*0.07),2)</f>
        <v>332.11</v>
      </c>
      <c r="D17" s="44">
        <f t="shared" si="3"/>
        <v>332.11</v>
      </c>
      <c r="E17" s="44"/>
      <c r="F17" s="44">
        <f>ROUND(((F7+F10)*0.07),2)+ROUND(((E7+E10)*0.07),2)</f>
        <v>300.14999999999998</v>
      </c>
      <c r="G17" s="45">
        <f t="shared" si="4"/>
        <v>300.14999999999998</v>
      </c>
    </row>
    <row r="18" spans="1:7">
      <c r="A18" s="43" t="s">
        <v>49</v>
      </c>
      <c r="B18" s="44">
        <f t="shared" ref="B18:G18" si="5">SUM(B19:B22)</f>
        <v>0</v>
      </c>
      <c r="C18" s="44">
        <f t="shared" si="5"/>
        <v>2532</v>
      </c>
      <c r="D18" s="45">
        <f t="shared" si="5"/>
        <v>2532</v>
      </c>
      <c r="E18" s="44">
        <f t="shared" si="5"/>
        <v>0</v>
      </c>
      <c r="F18" s="44">
        <f t="shared" si="5"/>
        <v>2628.2200000000003</v>
      </c>
      <c r="G18" s="45">
        <f t="shared" si="5"/>
        <v>2628.2200000000003</v>
      </c>
    </row>
    <row r="19" spans="1:7">
      <c r="A19" s="46" t="s">
        <v>50</v>
      </c>
      <c r="B19" s="47">
        <v>0</v>
      </c>
      <c r="C19" s="47">
        <v>1307.3800000000001</v>
      </c>
      <c r="D19" s="47">
        <f>SUM(B19:C19)</f>
        <v>1307.3800000000001</v>
      </c>
      <c r="E19" s="47">
        <v>0</v>
      </c>
      <c r="F19" s="47">
        <v>1193.75</v>
      </c>
      <c r="G19" s="47">
        <f>SUM(E19:F19)</f>
        <v>1193.75</v>
      </c>
    </row>
    <row r="20" spans="1:7">
      <c r="A20" s="46" t="s">
        <v>51</v>
      </c>
      <c r="B20" s="47">
        <v>0</v>
      </c>
      <c r="C20" s="47">
        <v>94.87</v>
      </c>
      <c r="D20" s="47">
        <f>SUM(B20:C20)</f>
        <v>94.87</v>
      </c>
      <c r="E20" s="47">
        <v>0</v>
      </c>
      <c r="F20" s="47">
        <v>105.79</v>
      </c>
      <c r="G20" s="47">
        <f>SUM(E20:F20)</f>
        <v>105.79</v>
      </c>
    </row>
    <row r="21" spans="1:7" s="52" customFormat="1">
      <c r="A21" s="51" t="s">
        <v>52</v>
      </c>
      <c r="B21" s="47">
        <v>0</v>
      </c>
      <c r="C21" s="47">
        <v>14.19</v>
      </c>
      <c r="D21" s="47">
        <f>SUM(B21:C21)</f>
        <v>14.19</v>
      </c>
      <c r="E21" s="47">
        <v>0</v>
      </c>
      <c r="F21" s="47">
        <v>18.53</v>
      </c>
      <c r="G21" s="47">
        <f>SUM(E21:F21)</f>
        <v>18.53</v>
      </c>
    </row>
    <row r="22" spans="1:7">
      <c r="A22" s="46" t="s">
        <v>53</v>
      </c>
      <c r="B22" s="47">
        <v>0</v>
      </c>
      <c r="C22" s="47">
        <v>1115.56</v>
      </c>
      <c r="D22" s="47">
        <f>SUM(B22:C22)</f>
        <v>1115.56</v>
      </c>
      <c r="E22" s="47">
        <v>0</v>
      </c>
      <c r="F22" s="47">
        <v>1310.1500000000001</v>
      </c>
      <c r="G22" s="47">
        <f>SUM(E22:F22)</f>
        <v>1310.1500000000001</v>
      </c>
    </row>
    <row r="23" spans="1:7">
      <c r="A23" s="43" t="s">
        <v>54</v>
      </c>
      <c r="B23" s="44">
        <f t="shared" ref="B23:G23" si="6">B6+B18</f>
        <v>1783.44</v>
      </c>
      <c r="C23" s="44">
        <f t="shared" si="6"/>
        <v>5825.09</v>
      </c>
      <c r="D23" s="45">
        <f t="shared" si="6"/>
        <v>7608.53</v>
      </c>
      <c r="E23" s="44">
        <f>E6+E18</f>
        <v>1371.4899999999998</v>
      </c>
      <c r="F23" s="44">
        <f t="shared" si="6"/>
        <v>5844.75</v>
      </c>
      <c r="G23" s="45">
        <f t="shared" si="6"/>
        <v>7216.24</v>
      </c>
    </row>
    <row r="24" spans="1:7">
      <c r="A24" s="43" t="s">
        <v>27</v>
      </c>
      <c r="B24" s="45">
        <f>ROUND(B23/B25,2)</f>
        <v>4.4800000000000004</v>
      </c>
      <c r="C24" s="45">
        <f>ROUND(C23/B25,2)</f>
        <v>14.62</v>
      </c>
      <c r="D24" s="45">
        <f>ROUND(D23/B25,2)</f>
        <v>19.100000000000001</v>
      </c>
      <c r="E24" s="45">
        <f>ROUND(E23/E25,2)</f>
        <v>4.0999999999999996</v>
      </c>
      <c r="F24" s="45">
        <f>ROUND(F23/E25,2)</f>
        <v>17.47</v>
      </c>
      <c r="G24" s="45">
        <f>ROUND(G23/E25,2)</f>
        <v>21.57</v>
      </c>
    </row>
    <row r="25" spans="1:7">
      <c r="A25" s="51" t="s">
        <v>55</v>
      </c>
      <c r="B25" s="61">
        <v>398.33</v>
      </c>
      <c r="C25" s="62"/>
      <c r="D25" s="63"/>
      <c r="E25" s="58">
        <v>334.61</v>
      </c>
      <c r="F25" s="59"/>
      <c r="G25" s="60"/>
    </row>
    <row r="26" spans="1:7">
      <c r="A26" s="51" t="s">
        <v>56</v>
      </c>
      <c r="B26" s="73">
        <v>37.58</v>
      </c>
      <c r="C26" s="74"/>
      <c r="D26" s="75"/>
      <c r="E26" s="73">
        <v>37.58</v>
      </c>
      <c r="F26" s="74"/>
      <c r="G26" s="75"/>
    </row>
    <row r="27" spans="1:7">
      <c r="A27" s="51" t="s">
        <v>57</v>
      </c>
      <c r="B27" s="58">
        <f>B25*B26</f>
        <v>14969.241399999999</v>
      </c>
      <c r="C27" s="59"/>
      <c r="D27" s="60"/>
      <c r="E27" s="58">
        <f>E25*E26</f>
        <v>12574.6438</v>
      </c>
      <c r="F27" s="59"/>
      <c r="G27" s="60"/>
    </row>
    <row r="28" spans="1:7" s="29" customFormat="1">
      <c r="A28" s="53" t="s">
        <v>31</v>
      </c>
      <c r="B28" s="45">
        <f>B27-B23</f>
        <v>13185.801399999998</v>
      </c>
      <c r="C28" s="45"/>
      <c r="D28" s="45">
        <f>B27-D23</f>
        <v>7360.7113999999992</v>
      </c>
      <c r="E28" s="78">
        <f>E27-E23</f>
        <v>11203.1538</v>
      </c>
      <c r="F28" s="78"/>
      <c r="G28" s="78">
        <f>E27-G23</f>
        <v>5358.4038</v>
      </c>
    </row>
    <row r="29" spans="1:7" s="29" customFormat="1">
      <c r="A29" s="54" t="s">
        <v>58</v>
      </c>
      <c r="B29" s="79">
        <f>B26-B24</f>
        <v>33.099999999999994</v>
      </c>
      <c r="C29" s="79"/>
      <c r="D29" s="79">
        <f>B26-D24</f>
        <v>18.479999999999997</v>
      </c>
      <c r="E29" s="79">
        <f>E26-E24</f>
        <v>33.479999999999997</v>
      </c>
      <c r="F29" s="79"/>
      <c r="G29" s="79">
        <f>E26-G24</f>
        <v>16.009999999999998</v>
      </c>
    </row>
    <row r="30" spans="1:7">
      <c r="A30" s="55"/>
    </row>
    <row r="31" spans="1:7">
      <c r="A31" s="56"/>
    </row>
  </sheetData>
  <mergeCells count="9">
    <mergeCell ref="B27:D27"/>
    <mergeCell ref="E27:G27"/>
    <mergeCell ref="B3:G3"/>
    <mergeCell ref="B4:D4"/>
    <mergeCell ref="E4:G4"/>
    <mergeCell ref="B25:D25"/>
    <mergeCell ref="E25:G25"/>
    <mergeCell ref="B26:D26"/>
    <mergeCell ref="E26:G26"/>
  </mergeCells>
  <pageMargins left="0.18" right="0.18" top="0.75" bottom="0.75" header="0.3" footer="0.3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1"/>
  <sheetViews>
    <sheetView tabSelected="1" workbookViewId="0">
      <selection activeCell="D6" sqref="D6"/>
    </sheetView>
  </sheetViews>
  <sheetFormatPr defaultRowHeight="14.25"/>
  <cols>
    <col min="1" max="1" width="36" customWidth="1"/>
    <col min="2" max="7" width="12" customWidth="1"/>
  </cols>
  <sheetData>
    <row r="1" spans="1:7" ht="27.75">
      <c r="A1" s="1" t="s">
        <v>64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2"/>
      <c r="E2" s="2"/>
      <c r="F2" s="2"/>
      <c r="G2" s="2" t="s">
        <v>0</v>
      </c>
    </row>
    <row r="3" spans="1:7" ht="27.75">
      <c r="A3" s="3"/>
      <c r="B3" s="64" t="s">
        <v>33</v>
      </c>
      <c r="C3" s="65"/>
      <c r="D3" s="65"/>
      <c r="E3" s="70"/>
      <c r="F3" s="70"/>
      <c r="G3" s="71"/>
    </row>
    <row r="4" spans="1:7" ht="27.75">
      <c r="A4" s="4" t="s">
        <v>1</v>
      </c>
      <c r="B4" s="67" t="s">
        <v>2</v>
      </c>
      <c r="C4" s="67"/>
      <c r="D4" s="67"/>
      <c r="E4" s="67" t="s">
        <v>3</v>
      </c>
      <c r="F4" s="67"/>
      <c r="G4" s="67"/>
    </row>
    <row r="5" spans="1:7" ht="27.75">
      <c r="A5" s="5"/>
      <c r="B5" s="6" t="s">
        <v>4</v>
      </c>
      <c r="C5" s="6" t="s">
        <v>5</v>
      </c>
      <c r="D5" s="6" t="s">
        <v>6</v>
      </c>
      <c r="E5" s="6" t="s">
        <v>4</v>
      </c>
      <c r="F5" s="6" t="s">
        <v>5</v>
      </c>
      <c r="G5" s="6" t="s">
        <v>6</v>
      </c>
    </row>
    <row r="6" spans="1:7" ht="24">
      <c r="A6" s="7" t="s">
        <v>7</v>
      </c>
      <c r="B6" s="8">
        <f t="shared" ref="B6:G6" si="0">+B7+B12+B20</f>
        <v>4396.4800000000005</v>
      </c>
      <c r="C6" s="8">
        <f t="shared" si="0"/>
        <v>2234.31</v>
      </c>
      <c r="D6" s="8">
        <f>+D7+D12+D20</f>
        <v>6630.79</v>
      </c>
      <c r="E6" s="8">
        <f t="shared" si="0"/>
        <v>4471.4399999999996</v>
      </c>
      <c r="F6" s="8">
        <f t="shared" si="0"/>
        <v>2023.1800000000003</v>
      </c>
      <c r="G6" s="8">
        <f t="shared" si="0"/>
        <v>6494.62</v>
      </c>
    </row>
    <row r="7" spans="1:7" ht="24">
      <c r="A7" s="9" t="s">
        <v>8</v>
      </c>
      <c r="B7" s="10">
        <f t="shared" ref="B7:G7" si="1">+B8+B9+B10+B11</f>
        <v>2385.44</v>
      </c>
      <c r="C7" s="10">
        <f t="shared" si="1"/>
        <v>1001.1300000000001</v>
      </c>
      <c r="D7" s="10">
        <f t="shared" si="1"/>
        <v>3386.5699999999997</v>
      </c>
      <c r="E7" s="10">
        <f t="shared" si="1"/>
        <v>2470.9899999999998</v>
      </c>
      <c r="F7" s="10">
        <f t="shared" si="1"/>
        <v>942.13</v>
      </c>
      <c r="G7" s="10">
        <f t="shared" si="1"/>
        <v>3413.12</v>
      </c>
    </row>
    <row r="8" spans="1:7" ht="24">
      <c r="A8" s="11" t="s">
        <v>9</v>
      </c>
      <c r="B8" s="12">
        <v>175.38</v>
      </c>
      <c r="C8" s="12">
        <v>418.17</v>
      </c>
      <c r="D8" s="12">
        <f>+B8+C8</f>
        <v>593.54999999999995</v>
      </c>
      <c r="E8" s="12">
        <v>252.29</v>
      </c>
      <c r="F8" s="12">
        <v>330.27</v>
      </c>
      <c r="G8" s="12">
        <f>+E8+F8</f>
        <v>582.55999999999995</v>
      </c>
    </row>
    <row r="9" spans="1:7" ht="24">
      <c r="A9" s="11" t="s">
        <v>10</v>
      </c>
      <c r="B9" s="12">
        <v>406.14</v>
      </c>
      <c r="C9" s="12">
        <v>233.25</v>
      </c>
      <c r="D9" s="12">
        <f t="shared" ref="D9:D19" si="2">+B9+C9</f>
        <v>639.39</v>
      </c>
      <c r="E9" s="13">
        <v>382.34</v>
      </c>
      <c r="F9" s="13">
        <v>172.06</v>
      </c>
      <c r="G9" s="12">
        <f t="shared" ref="G9:G11" si="3">+E9+F9</f>
        <v>554.4</v>
      </c>
    </row>
    <row r="10" spans="1:7" ht="24">
      <c r="A10" s="11" t="s">
        <v>11</v>
      </c>
      <c r="B10" s="12">
        <v>360.6</v>
      </c>
      <c r="C10" s="12">
        <v>80.150000000000006</v>
      </c>
      <c r="D10" s="12">
        <f t="shared" si="2"/>
        <v>440.75</v>
      </c>
      <c r="E10" s="13">
        <v>227.1</v>
      </c>
      <c r="F10" s="13">
        <v>309.3</v>
      </c>
      <c r="G10" s="12">
        <f t="shared" si="3"/>
        <v>536.4</v>
      </c>
    </row>
    <row r="11" spans="1:7" ht="24">
      <c r="A11" s="11" t="s">
        <v>12</v>
      </c>
      <c r="B11" s="12">
        <v>1443.32</v>
      </c>
      <c r="C11" s="12">
        <v>269.56</v>
      </c>
      <c r="D11" s="12">
        <f t="shared" si="2"/>
        <v>1712.8799999999999</v>
      </c>
      <c r="E11" s="13">
        <v>1609.26</v>
      </c>
      <c r="F11" s="13">
        <v>130.5</v>
      </c>
      <c r="G11" s="12">
        <f t="shared" si="3"/>
        <v>1739.76</v>
      </c>
    </row>
    <row r="12" spans="1:7" ht="24">
      <c r="A12" s="9" t="s">
        <v>13</v>
      </c>
      <c r="B12" s="10">
        <f>+B13+B14+B15+B16+B17+B18+B19</f>
        <v>2011.0400000000002</v>
      </c>
      <c r="C12" s="10">
        <f>+C13+C14+C15+C16+C17+C18+C19</f>
        <v>799.39</v>
      </c>
      <c r="D12" s="10">
        <f t="shared" ref="D12:G12" si="4">+D13+D14+D15+D16+D17+D18+D19</f>
        <v>2810.43</v>
      </c>
      <c r="E12" s="10">
        <f t="shared" si="4"/>
        <v>2000.4499999999998</v>
      </c>
      <c r="F12" s="10">
        <f t="shared" si="4"/>
        <v>656.17000000000007</v>
      </c>
      <c r="G12" s="10">
        <f t="shared" si="4"/>
        <v>2656.62</v>
      </c>
    </row>
    <row r="13" spans="1:7" ht="24">
      <c r="A13" s="11" t="s">
        <v>14</v>
      </c>
      <c r="B13" s="12">
        <v>358.24</v>
      </c>
      <c r="C13" s="12">
        <v>786.23</v>
      </c>
      <c r="D13" s="13">
        <f t="shared" si="2"/>
        <v>1144.47</v>
      </c>
      <c r="E13" s="13">
        <v>348.62</v>
      </c>
      <c r="F13" s="13">
        <v>655.96</v>
      </c>
      <c r="G13" s="13">
        <f>+E13+F13</f>
        <v>1004.58</v>
      </c>
    </row>
    <row r="14" spans="1:7" ht="24">
      <c r="A14" s="11" t="s">
        <v>15</v>
      </c>
      <c r="B14" s="12">
        <v>1401.47</v>
      </c>
      <c r="C14" s="12">
        <v>2.93</v>
      </c>
      <c r="D14" s="13">
        <f t="shared" si="2"/>
        <v>1404.4</v>
      </c>
      <c r="E14" s="13">
        <v>1264.77</v>
      </c>
      <c r="F14" s="13">
        <v>0</v>
      </c>
      <c r="G14" s="13">
        <f t="shared" ref="G14:G19" si="5">+E14+F14</f>
        <v>1264.77</v>
      </c>
    </row>
    <row r="15" spans="1:7" ht="24">
      <c r="A15" s="11" t="s">
        <v>16</v>
      </c>
      <c r="B15" s="12">
        <v>123.16</v>
      </c>
      <c r="C15" s="14">
        <v>0</v>
      </c>
      <c r="D15" s="13">
        <f t="shared" si="2"/>
        <v>123.16</v>
      </c>
      <c r="E15" s="13">
        <v>192.94</v>
      </c>
      <c r="F15" s="13">
        <v>0</v>
      </c>
      <c r="G15" s="13">
        <f t="shared" si="5"/>
        <v>192.94</v>
      </c>
    </row>
    <row r="16" spans="1:7" ht="24">
      <c r="A16" s="11" t="s">
        <v>17</v>
      </c>
      <c r="B16" s="12">
        <v>37.94</v>
      </c>
      <c r="C16" s="14">
        <v>10.11</v>
      </c>
      <c r="D16" s="13">
        <f t="shared" si="2"/>
        <v>48.05</v>
      </c>
      <c r="E16" s="13">
        <v>6.51</v>
      </c>
      <c r="F16" s="13">
        <v>0</v>
      </c>
      <c r="G16" s="13">
        <f t="shared" si="5"/>
        <v>6.51</v>
      </c>
    </row>
    <row r="17" spans="1:7" ht="24">
      <c r="A17" s="11" t="s">
        <v>18</v>
      </c>
      <c r="B17" s="15">
        <v>12.77</v>
      </c>
      <c r="C17" s="15">
        <v>0</v>
      </c>
      <c r="D17" s="16">
        <f t="shared" si="2"/>
        <v>12.77</v>
      </c>
      <c r="E17" s="16">
        <v>56.7</v>
      </c>
      <c r="F17" s="16">
        <v>0</v>
      </c>
      <c r="G17" s="13">
        <f t="shared" si="5"/>
        <v>56.7</v>
      </c>
    </row>
    <row r="18" spans="1:7" ht="24">
      <c r="A18" s="17" t="s">
        <v>19</v>
      </c>
      <c r="B18" s="15">
        <v>76.989999999999995</v>
      </c>
      <c r="C18" s="15">
        <v>0</v>
      </c>
      <c r="D18" s="16">
        <f t="shared" si="2"/>
        <v>76.989999999999995</v>
      </c>
      <c r="E18" s="16">
        <v>130.13999999999999</v>
      </c>
      <c r="F18" s="16">
        <v>0</v>
      </c>
      <c r="G18" s="13">
        <f t="shared" si="5"/>
        <v>130.13999999999999</v>
      </c>
    </row>
    <row r="19" spans="1:7" ht="24">
      <c r="A19" s="11" t="s">
        <v>20</v>
      </c>
      <c r="B19" s="15">
        <v>0.47</v>
      </c>
      <c r="C19" s="15">
        <v>0.12</v>
      </c>
      <c r="D19" s="16">
        <f t="shared" si="2"/>
        <v>0.59</v>
      </c>
      <c r="E19" s="16">
        <v>0.77</v>
      </c>
      <c r="F19" s="16">
        <v>0.21</v>
      </c>
      <c r="G19" s="13">
        <f t="shared" si="5"/>
        <v>0.98</v>
      </c>
    </row>
    <row r="20" spans="1:7" ht="24">
      <c r="A20" s="9" t="s">
        <v>21</v>
      </c>
      <c r="B20" s="18"/>
      <c r="C20" s="18">
        <f>ROUND((B7+C7+B12+C12)*0.07,2)</f>
        <v>433.79</v>
      </c>
      <c r="D20" s="19">
        <f>ROUND((D7+D12)*0.07,2)</f>
        <v>433.79</v>
      </c>
      <c r="E20" s="19"/>
      <c r="F20" s="19">
        <f>ROUND((E7+F7+E12+F12)*0.07,2)</f>
        <v>424.88</v>
      </c>
      <c r="G20" s="19">
        <f>ROUND((G7+G12)*0.07,2)</f>
        <v>424.88</v>
      </c>
    </row>
    <row r="21" spans="1:7" ht="24">
      <c r="A21" s="9" t="s">
        <v>22</v>
      </c>
      <c r="B21" s="18">
        <f t="shared" ref="B21:G21" si="6">+B22+B23+B24</f>
        <v>0</v>
      </c>
      <c r="C21" s="18">
        <f t="shared" si="6"/>
        <v>1185.55</v>
      </c>
      <c r="D21" s="18">
        <f t="shared" si="6"/>
        <v>1185.55</v>
      </c>
      <c r="E21" s="18">
        <f t="shared" si="6"/>
        <v>0</v>
      </c>
      <c r="F21" s="18">
        <f t="shared" si="6"/>
        <v>1184.5700000000002</v>
      </c>
      <c r="G21" s="18">
        <f t="shared" si="6"/>
        <v>1184.5700000000002</v>
      </c>
    </row>
    <row r="22" spans="1:7" ht="24">
      <c r="A22" s="11" t="s">
        <v>23</v>
      </c>
      <c r="B22" s="15">
        <v>0</v>
      </c>
      <c r="C22" s="15">
        <v>1182.56</v>
      </c>
      <c r="D22" s="16">
        <f t="shared" ref="D22:D23" si="7">+B22+C22</f>
        <v>1182.56</v>
      </c>
      <c r="E22" s="16">
        <v>0</v>
      </c>
      <c r="F22" s="16">
        <v>1178.9000000000001</v>
      </c>
      <c r="G22" s="16">
        <f>+E22+F22</f>
        <v>1178.9000000000001</v>
      </c>
    </row>
    <row r="23" spans="1:7" ht="24">
      <c r="A23" s="11" t="s">
        <v>24</v>
      </c>
      <c r="B23" s="15">
        <v>0</v>
      </c>
      <c r="C23" s="15">
        <v>2.39</v>
      </c>
      <c r="D23" s="16">
        <f t="shared" si="7"/>
        <v>2.39</v>
      </c>
      <c r="E23" s="16">
        <v>0</v>
      </c>
      <c r="F23" s="16">
        <v>4.6500000000000004</v>
      </c>
      <c r="G23" s="16">
        <f t="shared" ref="G23:G24" si="8">+E23+F23</f>
        <v>4.6500000000000004</v>
      </c>
    </row>
    <row r="24" spans="1:7" ht="24">
      <c r="A24" s="20" t="s">
        <v>25</v>
      </c>
      <c r="B24" s="15">
        <v>0</v>
      </c>
      <c r="C24" s="15">
        <v>0.6</v>
      </c>
      <c r="D24" s="16">
        <f>+B24+C24</f>
        <v>0.6</v>
      </c>
      <c r="E24" s="16">
        <v>0</v>
      </c>
      <c r="F24" s="16">
        <v>1.02</v>
      </c>
      <c r="G24" s="16">
        <f t="shared" si="8"/>
        <v>1.02</v>
      </c>
    </row>
    <row r="25" spans="1:7" ht="24">
      <c r="A25" s="9" t="s">
        <v>26</v>
      </c>
      <c r="B25" s="18">
        <f>+B6+B21</f>
        <v>4396.4800000000005</v>
      </c>
      <c r="C25" s="18">
        <f t="shared" ref="C25:G25" si="9">+C6+C21</f>
        <v>3419.8599999999997</v>
      </c>
      <c r="D25" s="18">
        <f t="shared" si="9"/>
        <v>7816.34</v>
      </c>
      <c r="E25" s="18">
        <f t="shared" si="9"/>
        <v>4471.4399999999996</v>
      </c>
      <c r="F25" s="18">
        <f t="shared" si="9"/>
        <v>3207.7500000000005</v>
      </c>
      <c r="G25" s="18">
        <f t="shared" si="9"/>
        <v>7679.1900000000005</v>
      </c>
    </row>
    <row r="26" spans="1:7" ht="24">
      <c r="A26" s="21" t="s">
        <v>27</v>
      </c>
      <c r="B26" s="18">
        <f>ROUND(B25/B27,2)</f>
        <v>410.5</v>
      </c>
      <c r="C26" s="18">
        <f>ROUND(C25/B27,2)</f>
        <v>319.31</v>
      </c>
      <c r="D26" s="18">
        <f>ROUND(D25/B27,2)</f>
        <v>729.82</v>
      </c>
      <c r="E26" s="18">
        <f>ROUND(E25/E27,2)</f>
        <v>452.12</v>
      </c>
      <c r="F26" s="18">
        <f>ROUND(F25/E27,2)</f>
        <v>324.33999999999997</v>
      </c>
      <c r="G26" s="18">
        <f>ROUND(G25/E27,2)</f>
        <v>776.46</v>
      </c>
    </row>
    <row r="27" spans="1:7" s="76" customFormat="1" ht="24">
      <c r="A27" s="24" t="s">
        <v>34</v>
      </c>
      <c r="B27" s="61">
        <v>10.71</v>
      </c>
      <c r="C27" s="62"/>
      <c r="D27" s="63"/>
      <c r="E27" s="61">
        <v>9.89</v>
      </c>
      <c r="F27" s="62"/>
      <c r="G27" s="63"/>
    </row>
    <row r="28" spans="1:7" s="77" customFormat="1" ht="24">
      <c r="A28" s="24" t="s">
        <v>35</v>
      </c>
      <c r="B28" s="73">
        <v>831</v>
      </c>
      <c r="C28" s="74"/>
      <c r="D28" s="75"/>
      <c r="E28" s="73">
        <v>831</v>
      </c>
      <c r="F28" s="74"/>
      <c r="G28" s="75"/>
    </row>
    <row r="29" spans="1:7" s="76" customFormat="1" ht="24">
      <c r="A29" s="24" t="s">
        <v>30</v>
      </c>
      <c r="B29" s="58">
        <f>B27*B28</f>
        <v>8900.01</v>
      </c>
      <c r="C29" s="59"/>
      <c r="D29" s="60"/>
      <c r="E29" s="58">
        <f>E27*E28</f>
        <v>8218.59</v>
      </c>
      <c r="F29" s="59"/>
      <c r="G29" s="60"/>
    </row>
    <row r="30" spans="1:7" ht="24">
      <c r="A30" s="21" t="s">
        <v>31</v>
      </c>
      <c r="B30" s="22">
        <f>+B29-B25</f>
        <v>4503.53</v>
      </c>
      <c r="C30" s="23"/>
      <c r="D30" s="22">
        <f>+B29-D25</f>
        <v>1083.67</v>
      </c>
      <c r="E30" s="22">
        <f>+E29-E25</f>
        <v>3747.1500000000005</v>
      </c>
      <c r="F30" s="23"/>
      <c r="G30" s="22">
        <f>+E29-G25</f>
        <v>539.39999999999964</v>
      </c>
    </row>
    <row r="31" spans="1:7" ht="24">
      <c r="A31" s="25" t="s">
        <v>32</v>
      </c>
      <c r="B31" s="26">
        <f>+ROUND(B30/B27,2)</f>
        <v>420.5</v>
      </c>
      <c r="C31" s="27"/>
      <c r="D31" s="26">
        <f>+ROUND(D30/B27,2)</f>
        <v>101.18</v>
      </c>
      <c r="E31" s="26">
        <f>+ROUND(E30/E27,2)</f>
        <v>378.88</v>
      </c>
      <c r="F31" s="27"/>
      <c r="G31" s="26">
        <f>+ROUND(G30/E27,2)</f>
        <v>54.54</v>
      </c>
    </row>
  </sheetData>
  <mergeCells count="9">
    <mergeCell ref="B28:D28"/>
    <mergeCell ref="E28:G28"/>
    <mergeCell ref="B29:D29"/>
    <mergeCell ref="E29:G29"/>
    <mergeCell ref="B3:G3"/>
    <mergeCell ref="B4:D4"/>
    <mergeCell ref="E4:G4"/>
    <mergeCell ref="B27:D27"/>
    <mergeCell ref="E27:G27"/>
  </mergeCells>
  <pageMargins left="0.18" right="0.18" top="0.75" bottom="0.75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ข้าวเหนียวนาปี</vt:lpstr>
      <vt:lpstr>ยางพารา</vt:lpstr>
      <vt:lpstr>อ้อยโรงงาน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oaeadmin</dc:creator>
  <cp:lastModifiedBy>1219</cp:lastModifiedBy>
  <cp:lastPrinted>2017-09-27T03:31:30Z</cp:lastPrinted>
  <dcterms:created xsi:type="dcterms:W3CDTF">2017-07-24T14:50:30Z</dcterms:created>
  <dcterms:modified xsi:type="dcterms:W3CDTF">2017-09-27T03:31:32Z</dcterms:modified>
</cp:coreProperties>
</file>