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45" windowWidth="19815" windowHeight="7665"/>
  </bookViews>
  <sheets>
    <sheet name="อ้อยโรงงาน" sheetId="8" r:id="rId1"/>
    <sheet name="มะม่วง" sheetId="6" r:id="rId2"/>
    <sheet name="ข้าวหอมมะลิ" sheetId="9" r:id="rId3"/>
    <sheet name="มันสำปะหลัง" sheetId="10" r:id="rId4"/>
  </sheets>
  <calcPr calcId="144525"/>
</workbook>
</file>

<file path=xl/calcChain.xml><?xml version="1.0" encoding="utf-8"?>
<calcChain xmlns="http://schemas.openxmlformats.org/spreadsheetml/2006/main">
  <c r="D26" i="9" l="1"/>
  <c r="B29" i="9" l="1"/>
  <c r="E28" i="9"/>
  <c r="E29" i="9" s="1"/>
  <c r="B28" i="9"/>
  <c r="B26" i="6" l="1"/>
  <c r="D21" i="6"/>
  <c r="D20" i="6"/>
  <c r="D19" i="6"/>
  <c r="D18" i="6"/>
  <c r="C17" i="6"/>
  <c r="B17" i="6"/>
  <c r="D15" i="6"/>
  <c r="D14" i="6"/>
  <c r="D13" i="6"/>
  <c r="D12" i="6"/>
  <c r="D11" i="6"/>
  <c r="D10" i="6"/>
  <c r="D9" i="6" s="1"/>
  <c r="C9" i="6"/>
  <c r="B9" i="6"/>
  <c r="D8" i="6"/>
  <c r="D7" i="6"/>
  <c r="C6" i="6"/>
  <c r="B6" i="6"/>
  <c r="B5" i="6" s="1"/>
  <c r="B22" i="6" s="1"/>
  <c r="C16" i="6" l="1"/>
  <c r="C5" i="6" s="1"/>
  <c r="C22" i="6" s="1"/>
  <c r="C23" i="6" s="1"/>
  <c r="D6" i="6"/>
  <c r="D17" i="6"/>
  <c r="B27" i="6"/>
  <c r="B23" i="6"/>
  <c r="B28" i="6" s="1"/>
  <c r="D16" i="6" l="1"/>
  <c r="D5" i="6" s="1"/>
  <c r="D22" i="6" s="1"/>
  <c r="D23" i="6" s="1"/>
  <c r="D28" i="6" s="1"/>
  <c r="D27" i="6" l="1"/>
  <c r="C7" i="10"/>
  <c r="B7" i="10"/>
  <c r="E29" i="10"/>
  <c r="B29" i="10"/>
  <c r="G24" i="10"/>
  <c r="D24" i="10"/>
  <c r="G23" i="10"/>
  <c r="D23" i="10"/>
  <c r="G22" i="10"/>
  <c r="G21" i="10" s="1"/>
  <c r="D22" i="10"/>
  <c r="F21" i="10"/>
  <c r="E21" i="10"/>
  <c r="C21" i="10"/>
  <c r="B21" i="10"/>
  <c r="G19" i="10"/>
  <c r="D19" i="10"/>
  <c r="G18" i="10"/>
  <c r="D18" i="10"/>
  <c r="G17" i="10"/>
  <c r="D17" i="10"/>
  <c r="G16" i="10"/>
  <c r="D16" i="10"/>
  <c r="G15" i="10"/>
  <c r="D15" i="10"/>
  <c r="G14" i="10"/>
  <c r="D14" i="10"/>
  <c r="G13" i="10"/>
  <c r="D13" i="10"/>
  <c r="F12" i="10"/>
  <c r="E12" i="10"/>
  <c r="C12" i="10"/>
  <c r="B12" i="10"/>
  <c r="G11" i="10"/>
  <c r="D11" i="10"/>
  <c r="G10" i="10"/>
  <c r="D10" i="10"/>
  <c r="G9" i="10"/>
  <c r="D9" i="10"/>
  <c r="G8" i="10"/>
  <c r="D8" i="10"/>
  <c r="G7" i="10"/>
  <c r="F7" i="10"/>
  <c r="E7" i="10"/>
  <c r="G30" i="10" l="1"/>
  <c r="G31" i="10" s="1"/>
  <c r="E30" i="10"/>
  <c r="E31" i="10" s="1"/>
  <c r="D7" i="10"/>
  <c r="D12" i="10"/>
  <c r="D20" i="10" s="1"/>
  <c r="D6" i="10" s="1"/>
  <c r="D25" i="10" s="1"/>
  <c r="D26" i="10" s="1"/>
  <c r="D21" i="10"/>
  <c r="E6" i="10"/>
  <c r="E25" i="10" s="1"/>
  <c r="E26" i="10" s="1"/>
  <c r="G12" i="10"/>
  <c r="G20" i="10" s="1"/>
  <c r="G6" i="10" s="1"/>
  <c r="G25" i="10" s="1"/>
  <c r="G26" i="10" s="1"/>
  <c r="B6" i="10"/>
  <c r="B25" i="10" s="1"/>
  <c r="F20" i="10"/>
  <c r="F6" i="10" s="1"/>
  <c r="F25" i="10" s="1"/>
  <c r="F26" i="10" s="1"/>
  <c r="C20" i="10"/>
  <c r="C6" i="10" s="1"/>
  <c r="C25" i="10" s="1"/>
  <c r="C26" i="10" s="1"/>
  <c r="B26" i="10" l="1"/>
  <c r="B30" i="10"/>
  <c r="B31" i="10" s="1"/>
  <c r="D30" i="10"/>
  <c r="D31" i="10" s="1"/>
  <c r="G24" i="9" l="1"/>
  <c r="D24" i="9"/>
  <c r="G23" i="9"/>
  <c r="D23" i="9"/>
  <c r="G22" i="9"/>
  <c r="D22" i="9"/>
  <c r="F21" i="9"/>
  <c r="E21" i="9"/>
  <c r="C21" i="9"/>
  <c r="B21" i="9"/>
  <c r="G19" i="9"/>
  <c r="D19" i="9"/>
  <c r="G18" i="9"/>
  <c r="D18" i="9"/>
  <c r="G17" i="9"/>
  <c r="D17" i="9"/>
  <c r="G16" i="9"/>
  <c r="D16" i="9"/>
  <c r="G15" i="9"/>
  <c r="D15" i="9"/>
  <c r="G14" i="9"/>
  <c r="D14" i="9"/>
  <c r="G13" i="9"/>
  <c r="D13" i="9"/>
  <c r="F12" i="9"/>
  <c r="E12" i="9"/>
  <c r="C12" i="9"/>
  <c r="B12" i="9"/>
  <c r="G11" i="9"/>
  <c r="D11" i="9"/>
  <c r="G10" i="9"/>
  <c r="D10" i="9"/>
  <c r="G9" i="9"/>
  <c r="D9" i="9"/>
  <c r="G8" i="9"/>
  <c r="D8" i="9"/>
  <c r="F7" i="9"/>
  <c r="E7" i="9"/>
  <c r="C7" i="9"/>
  <c r="B7" i="9"/>
  <c r="E29" i="8"/>
  <c r="B29" i="8"/>
  <c r="G24" i="8"/>
  <c r="D24" i="8"/>
  <c r="G23" i="8"/>
  <c r="D23" i="8"/>
  <c r="G22" i="8"/>
  <c r="D22" i="8"/>
  <c r="F21" i="8"/>
  <c r="E21" i="8"/>
  <c r="C21" i="8"/>
  <c r="B21" i="8"/>
  <c r="G19" i="8"/>
  <c r="D19" i="8"/>
  <c r="G18" i="8"/>
  <c r="D18" i="8"/>
  <c r="G17" i="8"/>
  <c r="D17" i="8"/>
  <c r="G16" i="8"/>
  <c r="D16" i="8"/>
  <c r="G15" i="8"/>
  <c r="D15" i="8"/>
  <c r="G14" i="8"/>
  <c r="D14" i="8"/>
  <c r="G13" i="8"/>
  <c r="D13" i="8"/>
  <c r="F12" i="8"/>
  <c r="E12" i="8"/>
  <c r="C12" i="8"/>
  <c r="B12" i="8"/>
  <c r="G11" i="8"/>
  <c r="D11" i="8"/>
  <c r="G10" i="8"/>
  <c r="D10" i="8"/>
  <c r="G9" i="8"/>
  <c r="D9" i="8"/>
  <c r="G8" i="8"/>
  <c r="D8" i="8"/>
  <c r="F7" i="8"/>
  <c r="E7" i="8"/>
  <c r="C7" i="8"/>
  <c r="B7" i="8"/>
  <c r="E6" i="9" l="1"/>
  <c r="E25" i="9" s="1"/>
  <c r="E26" i="9" s="1"/>
  <c r="E31" i="9" s="1"/>
  <c r="G7" i="8"/>
  <c r="B6" i="8"/>
  <c r="B30" i="8"/>
  <c r="B31" i="8" s="1"/>
  <c r="D21" i="9"/>
  <c r="D21" i="8"/>
  <c r="G21" i="8"/>
  <c r="G7" i="9"/>
  <c r="G21" i="9"/>
  <c r="G12" i="9"/>
  <c r="D12" i="9"/>
  <c r="B6" i="9"/>
  <c r="B25" i="9" s="1"/>
  <c r="B26" i="9" s="1"/>
  <c r="D7" i="9"/>
  <c r="F20" i="9"/>
  <c r="G20" i="9" s="1"/>
  <c r="C20" i="9"/>
  <c r="D20" i="9" s="1"/>
  <c r="E6" i="8"/>
  <c r="E25" i="8" s="1"/>
  <c r="E26" i="8" s="1"/>
  <c r="G12" i="8"/>
  <c r="D12" i="8"/>
  <c r="B25" i="8"/>
  <c r="B26" i="8" s="1"/>
  <c r="C20" i="8"/>
  <c r="C6" i="8" s="1"/>
  <c r="C25" i="8" s="1"/>
  <c r="C26" i="8" s="1"/>
  <c r="D7" i="8"/>
  <c r="G20" i="8"/>
  <c r="G6" i="8" s="1"/>
  <c r="G25" i="8" s="1"/>
  <c r="G26" i="8" s="1"/>
  <c r="F20" i="8"/>
  <c r="F6" i="8" s="1"/>
  <c r="F25" i="8" s="1"/>
  <c r="F26" i="8" s="1"/>
  <c r="E30" i="9" l="1"/>
  <c r="E30" i="8"/>
  <c r="E31" i="8" s="1"/>
  <c r="B30" i="9"/>
  <c r="D6" i="9"/>
  <c r="D25" i="9" s="1"/>
  <c r="D31" i="9" s="1"/>
  <c r="G30" i="8"/>
  <c r="G31" i="8" s="1"/>
  <c r="G6" i="9"/>
  <c r="G25" i="9" s="1"/>
  <c r="F6" i="9"/>
  <c r="F25" i="9" s="1"/>
  <c r="F26" i="9" s="1"/>
  <c r="B31" i="9"/>
  <c r="C6" i="9"/>
  <c r="C25" i="9" s="1"/>
  <c r="C26" i="9" s="1"/>
  <c r="D20" i="8"/>
  <c r="D6" i="8" s="1"/>
  <c r="D25" i="8" s="1"/>
  <c r="D26" i="8" s="1"/>
  <c r="G26" i="9" l="1"/>
  <c r="G31" i="9" s="1"/>
  <c r="D30" i="9"/>
  <c r="G30" i="9"/>
  <c r="D30" i="8"/>
  <c r="D31" i="8" s="1"/>
</calcChain>
</file>

<file path=xl/sharedStrings.xml><?xml version="1.0" encoding="utf-8"?>
<sst xmlns="http://schemas.openxmlformats.org/spreadsheetml/2006/main" count="145" uniqueCount="69">
  <si>
    <t>หน่วย:บาท/ไร่</t>
  </si>
  <si>
    <t>รายการ</t>
  </si>
  <si>
    <t>เงินสด</t>
  </si>
  <si>
    <t>ประเมิน</t>
  </si>
  <si>
    <t>รวม</t>
  </si>
  <si>
    <t xml:space="preserve"> 1. ต้นทุนผันแปร</t>
  </si>
  <si>
    <t>1.1  ค่าแรงงาน</t>
  </si>
  <si>
    <t xml:space="preserve">        ดูแลรักษา</t>
  </si>
  <si>
    <t>1.2  ค่าวัสดุ</t>
  </si>
  <si>
    <t xml:space="preserve">       ค่าปุ๋ย</t>
  </si>
  <si>
    <t xml:space="preserve">       ค่ายาป้องกันกำจัดศัตรูและวัชพืช</t>
  </si>
  <si>
    <t xml:space="preserve">        ค่าน้ำมันเชื้อเพลิงและไฟฟ้า</t>
  </si>
  <si>
    <t xml:space="preserve">       ค่าซ่อมแซมอุปกรณ์การเกษตร</t>
  </si>
  <si>
    <t xml:space="preserve">  1.3ค่าเสียโอกาสเงินลงทุน</t>
  </si>
  <si>
    <t>2.  ต้นทุนคงที่</t>
  </si>
  <si>
    <t xml:space="preserve">      ค่าเช่าที่ดิน</t>
  </si>
  <si>
    <t xml:space="preserve">      ค่าเสื่อมอุปกรณ์การเกษตร</t>
  </si>
  <si>
    <t xml:space="preserve">       ค่าเสียโอกาสเงินลงทุนอุปกรณ์การเกษตร</t>
  </si>
  <si>
    <t xml:space="preserve">      ค่าเฉลี่ยต้นทุนก่อนให้ผลผลิต </t>
  </si>
  <si>
    <t>3.  ต้นทุนรวมต่อไร่</t>
  </si>
  <si>
    <t>4. ต้นทุนรวมต่อกิโลกรัม</t>
  </si>
  <si>
    <t xml:space="preserve">5.  ผลผลิตต่อไร่ (กก.) </t>
  </si>
  <si>
    <t>6. ราคาผลผลิตที่เกษตรกรขายได้ ณ ไร่นา (บาท/กก.)</t>
  </si>
  <si>
    <t xml:space="preserve">7. ผลตอบแทนต่อไร่ </t>
  </si>
  <si>
    <t>8. ผลตอบแทนสุทธิต่อไร่</t>
  </si>
  <si>
    <t xml:space="preserve">9. ผลตอบแทนสุทธิต่อกิโลกรัม </t>
  </si>
  <si>
    <t>S1</t>
  </si>
  <si>
    <t>N</t>
  </si>
  <si>
    <t xml:space="preserve">       ค่าวัสดุการเกษตรและวัสดุสิ้นเปลือง</t>
  </si>
  <si>
    <t>หน่วย : บาท/ไร่</t>
  </si>
  <si>
    <t>7. ผลตอบแทนต่อไร่</t>
  </si>
  <si>
    <t>1.  ต้นทุนผันแปร</t>
  </si>
  <si>
    <t>1.3  ค่าเสียโอกาสเงินลงทุน</t>
  </si>
  <si>
    <t>2. ต้นทุนคงที่</t>
  </si>
  <si>
    <t xml:space="preserve">   ค่าเสื่อมอุปกรณ์การเกษตร</t>
  </si>
  <si>
    <t xml:space="preserve">   ค่าเสียโอกาสเงินลงทุนอุปกรณ์การเกษตร</t>
  </si>
  <si>
    <t>9. ผลตอบแทนสุทธิต่อกิโลกรัม</t>
  </si>
  <si>
    <t xml:space="preserve">   ค่าเช่าที่ดิน</t>
  </si>
  <si>
    <t xml:space="preserve">    ค่าเสียโอกาสเงินลงทุนอุปกรณ์การเกษตร</t>
  </si>
  <si>
    <t xml:space="preserve">       ค่าสารอื่นๆ และวัสดุปรับปรุงดิน</t>
  </si>
  <si>
    <t xml:space="preserve">        เตรียมดิน</t>
  </si>
  <si>
    <t xml:space="preserve">        เตรียมพันธุ์และปลูก</t>
  </si>
  <si>
    <t xml:space="preserve">       เก็บเกี่ยว</t>
  </si>
  <si>
    <t xml:space="preserve">       ค่าพันธุ์</t>
  </si>
  <si>
    <t>ไม่เป็นเงินสด</t>
  </si>
  <si>
    <t>1.1 ค่าแรงงาน</t>
  </si>
  <si>
    <t xml:space="preserve">   เตรียมดิน</t>
  </si>
  <si>
    <t xml:space="preserve">   เตรียมพันธุ์และปลูก</t>
  </si>
  <si>
    <t xml:space="preserve">   ดูแลรักษา</t>
  </si>
  <si>
    <t xml:space="preserve">   เก็บเกี่ยว</t>
  </si>
  <si>
    <t>1.2 ค่าวัสดุ</t>
  </si>
  <si>
    <t xml:space="preserve">   ค่าพันธุ์</t>
  </si>
  <si>
    <t xml:space="preserve">   ค่าปุ๋ย</t>
  </si>
  <si>
    <t xml:space="preserve">   ค่าสารปราบศัตรูพืชและวัชพืช</t>
  </si>
  <si>
    <t xml:space="preserve">   ค่าสารอื่นๆ และวัสดุปรับปรุงดิน</t>
  </si>
  <si>
    <t xml:space="preserve">   ค่าน้ำมันเชื้อเพลิงและหล่อลื่น</t>
  </si>
  <si>
    <t xml:space="preserve">   ค่าวัสดุการเกษตรและวัสดุสิ้นเปลือง</t>
  </si>
  <si>
    <t xml:space="preserve">   ค่าซ่อมแซมอุปกรณ์การเกษตร</t>
  </si>
  <si>
    <t>3. ต้นทุนรวมต่อไร่</t>
  </si>
  <si>
    <t>5. ผลผลิตต่อไร่ (กก.)</t>
  </si>
  <si>
    <t>6. ราคาที่เกษตรกรขายได้ที่ไร่นา (บาท/กิโลกรัม)</t>
  </si>
  <si>
    <t>สระแก้ว</t>
  </si>
  <si>
    <t>ตารางที่ 68  ต้นทุนการผลิตอ้อยโรงงาน  แยกตามลักษณะความเหมาะสมของพื้นที่</t>
  </si>
  <si>
    <t>ตารางที่ 71  ต้นทุนการผลิตมันสำปะหลัง แยกตามลักษณะความเหมาะสมของพื้นที่</t>
  </si>
  <si>
    <t>ตารางที่ 69  ต้นทุนการผลิตมะม่วง  แยกตามลักษณะความเหมาะสมของพื้นที่</t>
  </si>
  <si>
    <t>ตารางที่ 70  ต้นทุนการผลิตข้าวหอมมะลิ แยกตามลักษณะความเหมาะสมของพื้นที่</t>
  </si>
  <si>
    <t>4. ต้นทุนรวมต่อเกวียน (ตัน)</t>
  </si>
  <si>
    <t>9. ผลตอบแทนสุทธิต่อตัน</t>
  </si>
  <si>
    <t>6. ราคาผลผลิตที่เกษตรกรขายได้ ณ ไร่นา (บาท/ตัน)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</si>
</sst>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AngsanaUPC"/>
      <family val="1"/>
    </font>
    <font>
      <b/>
      <sz val="16"/>
      <name val="TH SarabunPSK"/>
      <family val="2"/>
    </font>
    <font>
      <sz val="16"/>
      <name val="TH SarabunPSK"/>
      <family val="2"/>
    </font>
    <font>
      <sz val="14"/>
      <name val="CordiaUPC"/>
      <family val="2"/>
    </font>
    <font>
      <b/>
      <sz val="16"/>
      <color theme="1"/>
      <name val="TH SarabunPSK"/>
      <family val="2"/>
    </font>
    <font>
      <b/>
      <sz val="18"/>
      <name val="TH SarabunPSK"/>
      <family val="2"/>
    </font>
    <font>
      <sz val="14"/>
      <color indexed="8"/>
      <name val="TH SarabunPSK"/>
      <family val="2"/>
    </font>
    <font>
      <sz val="16"/>
      <color indexed="8"/>
      <name val="TH SarabunPSK"/>
      <family val="2"/>
    </font>
    <font>
      <sz val="16"/>
      <name val="Angsana New"/>
      <family val="1"/>
    </font>
    <font>
      <b/>
      <sz val="16"/>
      <color indexed="8"/>
      <name val="TH SarabunPSK"/>
      <family val="2"/>
    </font>
    <font>
      <sz val="16"/>
      <color theme="1"/>
      <name val="TH SarabunPSK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43" fontId="2" fillId="0" borderId="0" applyFont="0" applyFill="0" applyBorder="0" applyAlignment="0" applyProtection="0"/>
    <xf numFmtId="0" fontId="2" fillId="0" borderId="0"/>
    <xf numFmtId="0" fontId="5" fillId="0" borderId="0"/>
    <xf numFmtId="0" fontId="1" fillId="0" borderId="0"/>
    <xf numFmtId="43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</cellStyleXfs>
  <cellXfs count="91">
    <xf numFmtId="0" fontId="0" fillId="0" borderId="0" xfId="0"/>
    <xf numFmtId="43" fontId="3" fillId="0" borderId="0" xfId="1" applyFont="1" applyFill="1" applyBorder="1" applyAlignment="1"/>
    <xf numFmtId="43" fontId="3" fillId="0" borderId="0" xfId="1" applyFont="1" applyFill="1" applyBorder="1" applyAlignment="1">
      <alignment horizontal="right"/>
    </xf>
    <xf numFmtId="43" fontId="4" fillId="0" borderId="0" xfId="1" applyFont="1" applyFill="1" applyBorder="1" applyAlignment="1"/>
    <xf numFmtId="43" fontId="4" fillId="0" borderId="0" xfId="1" applyFont="1" applyFill="1" applyBorder="1" applyAlignment="1">
      <alignment horizontal="right"/>
    </xf>
    <xf numFmtId="164" fontId="4" fillId="0" borderId="0" xfId="1" applyNumberFormat="1" applyFont="1" applyFill="1"/>
    <xf numFmtId="0" fontId="4" fillId="0" borderId="0" xfId="2" applyFont="1" applyFill="1"/>
    <xf numFmtId="0" fontId="4" fillId="0" borderId="0" xfId="2" applyFont="1" applyFill="1" applyAlignment="1">
      <alignment vertical="center"/>
    </xf>
    <xf numFmtId="164" fontId="3" fillId="0" borderId="5" xfId="1" applyNumberFormat="1" applyFont="1" applyFill="1" applyBorder="1" applyAlignment="1">
      <alignment horizontal="center" vertical="center"/>
    </xf>
    <xf numFmtId="164" fontId="3" fillId="0" borderId="6" xfId="1" applyNumberFormat="1" applyFont="1" applyFill="1" applyBorder="1" applyAlignment="1">
      <alignment horizontal="center" vertical="center"/>
    </xf>
    <xf numFmtId="43" fontId="3" fillId="0" borderId="7" xfId="1" applyFont="1" applyFill="1" applyBorder="1" applyAlignment="1"/>
    <xf numFmtId="164" fontId="3" fillId="0" borderId="7" xfId="3" applyNumberFormat="1" applyFont="1" applyFill="1" applyBorder="1" applyAlignment="1">
      <alignment horizontal="right"/>
    </xf>
    <xf numFmtId="4" fontId="3" fillId="0" borderId="7" xfId="3" applyNumberFormat="1" applyFont="1" applyFill="1" applyBorder="1" applyAlignment="1">
      <alignment horizontal="right"/>
    </xf>
    <xf numFmtId="43" fontId="3" fillId="0" borderId="8" xfId="1" applyFont="1" applyFill="1" applyBorder="1" applyAlignment="1"/>
    <xf numFmtId="164" fontId="3" fillId="0" borderId="8" xfId="3" applyNumberFormat="1" applyFont="1" applyFill="1" applyBorder="1" applyAlignment="1">
      <alignment horizontal="right"/>
    </xf>
    <xf numFmtId="4" fontId="3" fillId="0" borderId="8" xfId="3" applyNumberFormat="1" applyFont="1" applyFill="1" applyBorder="1" applyAlignment="1">
      <alignment horizontal="right"/>
    </xf>
    <xf numFmtId="43" fontId="4" fillId="0" borderId="8" xfId="1" applyFont="1" applyFill="1" applyBorder="1" applyAlignment="1"/>
    <xf numFmtId="164" fontId="4" fillId="0" borderId="8" xfId="3" applyNumberFormat="1" applyFont="1" applyFill="1" applyBorder="1" applyAlignment="1">
      <alignment horizontal="right"/>
    </xf>
    <xf numFmtId="4" fontId="4" fillId="0" borderId="8" xfId="3" applyNumberFormat="1" applyFont="1" applyFill="1" applyBorder="1" applyAlignment="1"/>
    <xf numFmtId="43" fontId="4" fillId="0" borderId="8" xfId="1" applyFont="1" applyFill="1" applyBorder="1" applyAlignment="1">
      <alignment horizontal="left"/>
    </xf>
    <xf numFmtId="0" fontId="6" fillId="0" borderId="8" xfId="4" applyFont="1" applyBorder="1"/>
    <xf numFmtId="4" fontId="4" fillId="0" borderId="8" xfId="2" applyNumberFormat="1" applyFont="1" applyFill="1" applyBorder="1" applyAlignment="1"/>
    <xf numFmtId="43" fontId="4" fillId="0" borderId="0" xfId="1" applyFont="1" applyFill="1"/>
    <xf numFmtId="4" fontId="3" fillId="0" borderId="8" xfId="2" applyNumberFormat="1" applyFont="1" applyFill="1" applyBorder="1" applyAlignment="1"/>
    <xf numFmtId="4" fontId="3" fillId="0" borderId="15" xfId="2" applyNumberFormat="1" applyFont="1" applyFill="1" applyBorder="1" applyAlignment="1"/>
    <xf numFmtId="4" fontId="4" fillId="0" borderId="0" xfId="3" applyNumberFormat="1" applyFont="1" applyFill="1" applyBorder="1" applyAlignment="1"/>
    <xf numFmtId="0" fontId="4" fillId="0" borderId="0" xfId="3" applyFont="1" applyFill="1"/>
    <xf numFmtId="43" fontId="3" fillId="0" borderId="5" xfId="1" applyFont="1" applyFill="1" applyBorder="1" applyAlignment="1">
      <alignment horizontal="center" vertical="center"/>
    </xf>
    <xf numFmtId="43" fontId="3" fillId="0" borderId="1" xfId="1" applyFont="1" applyFill="1" applyBorder="1" applyAlignment="1"/>
    <xf numFmtId="43" fontId="3" fillId="0" borderId="16" xfId="1" applyFont="1" applyFill="1" applyBorder="1" applyAlignment="1">
      <alignment horizontal="center" vertical="center"/>
    </xf>
    <xf numFmtId="43" fontId="7" fillId="0" borderId="0" xfId="1" applyFont="1" applyFill="1" applyBorder="1" applyAlignment="1"/>
    <xf numFmtId="2" fontId="7" fillId="0" borderId="0" xfId="3" applyNumberFormat="1" applyFont="1" applyFill="1" applyBorder="1" applyAlignment="1"/>
    <xf numFmtId="2" fontId="8" fillId="0" borderId="18" xfId="3" applyNumberFormat="1" applyFont="1" applyFill="1" applyBorder="1" applyAlignment="1"/>
    <xf numFmtId="49" fontId="3" fillId="0" borderId="5" xfId="3" applyNumberFormat="1" applyFont="1" applyFill="1" applyBorder="1" applyAlignment="1">
      <alignment horizontal="center" vertical="center"/>
    </xf>
    <xf numFmtId="2" fontId="3" fillId="0" borderId="17" xfId="3" applyNumberFormat="1" applyFont="1" applyFill="1" applyBorder="1" applyAlignment="1">
      <alignment vertical="center"/>
    </xf>
    <xf numFmtId="43" fontId="3" fillId="0" borderId="17" xfId="5" applyFont="1" applyFill="1" applyBorder="1" applyAlignment="1">
      <alignment horizontal="right"/>
    </xf>
    <xf numFmtId="2" fontId="3" fillId="0" borderId="8" xfId="3" applyNumberFormat="1" applyFont="1" applyFill="1" applyBorder="1" applyAlignment="1">
      <alignment vertical="center"/>
    </xf>
    <xf numFmtId="43" fontId="3" fillId="0" borderId="8" xfId="5" applyFont="1" applyFill="1" applyBorder="1" applyAlignment="1">
      <alignment horizontal="right"/>
    </xf>
    <xf numFmtId="2" fontId="4" fillId="0" borderId="8" xfId="3" applyNumberFormat="1" applyFont="1" applyFill="1" applyBorder="1" applyAlignment="1">
      <alignment vertical="center"/>
    </xf>
    <xf numFmtId="43" fontId="4" fillId="0" borderId="8" xfId="5" applyFont="1" applyFill="1" applyBorder="1"/>
    <xf numFmtId="43" fontId="9" fillId="0" borderId="8" xfId="5" applyFont="1" applyFill="1" applyBorder="1"/>
    <xf numFmtId="43" fontId="10" fillId="0" borderId="8" xfId="5" applyFont="1" applyFill="1" applyBorder="1"/>
    <xf numFmtId="43" fontId="4" fillId="0" borderId="8" xfId="5" applyFont="1" applyFill="1" applyBorder="1" applyAlignment="1">
      <alignment vertical="center"/>
    </xf>
    <xf numFmtId="43" fontId="9" fillId="0" borderId="8" xfId="5" applyFont="1" applyFill="1" applyBorder="1" applyAlignment="1">
      <alignment vertical="center"/>
    </xf>
    <xf numFmtId="2" fontId="4" fillId="0" borderId="8" xfId="6" applyNumberFormat="1" applyFont="1" applyBorder="1" applyAlignment="1">
      <alignment vertical="center"/>
    </xf>
    <xf numFmtId="43" fontId="3" fillId="0" borderId="8" xfId="5" applyFont="1" applyFill="1" applyBorder="1" applyAlignment="1">
      <alignment horizontal="right" vertical="center"/>
    </xf>
    <xf numFmtId="43" fontId="11" fillId="0" borderId="8" xfId="5" applyFont="1" applyFill="1" applyBorder="1" applyAlignment="1">
      <alignment horizontal="right" vertical="center"/>
    </xf>
    <xf numFmtId="2" fontId="4" fillId="0" borderId="8" xfId="7" applyNumberFormat="1" applyFont="1" applyFill="1" applyBorder="1" applyAlignment="1">
      <alignment vertical="center"/>
    </xf>
    <xf numFmtId="2" fontId="3" fillId="0" borderId="8" xfId="7" applyNumberFormat="1" applyFont="1" applyFill="1" applyBorder="1" applyAlignment="1" applyProtection="1">
      <alignment horizontal="left" vertical="center"/>
    </xf>
    <xf numFmtId="165" fontId="3" fillId="0" borderId="8" xfId="5" applyNumberFormat="1" applyFont="1" applyFill="1" applyBorder="1" applyAlignment="1">
      <alignment horizontal="right" vertical="center"/>
    </xf>
    <xf numFmtId="164" fontId="3" fillId="0" borderId="8" xfId="5" applyNumberFormat="1" applyFont="1" applyBorder="1" applyAlignment="1">
      <alignment horizontal="right" vertical="center"/>
    </xf>
    <xf numFmtId="2" fontId="4" fillId="0" borderId="8" xfId="7" applyNumberFormat="1" applyFont="1" applyFill="1" applyBorder="1" applyAlignment="1" applyProtection="1">
      <alignment horizontal="left" vertical="center"/>
    </xf>
    <xf numFmtId="164" fontId="3" fillId="0" borderId="8" xfId="5" applyNumberFormat="1" applyFont="1" applyFill="1" applyBorder="1" applyAlignment="1">
      <alignment horizontal="right" vertical="center"/>
    </xf>
    <xf numFmtId="2" fontId="3" fillId="0" borderId="15" xfId="7" applyNumberFormat="1" applyFont="1" applyFill="1" applyBorder="1" applyAlignment="1" applyProtection="1">
      <alignment horizontal="left" vertical="center"/>
    </xf>
    <xf numFmtId="164" fontId="3" fillId="0" borderId="15" xfId="5" applyNumberFormat="1" applyFont="1" applyFill="1" applyBorder="1" applyAlignment="1">
      <alignment horizontal="right" vertical="center"/>
    </xf>
    <xf numFmtId="165" fontId="3" fillId="0" borderId="15" xfId="5" applyNumberFormat="1" applyFont="1" applyFill="1" applyBorder="1" applyAlignment="1">
      <alignment horizontal="right" vertical="center"/>
    </xf>
    <xf numFmtId="164" fontId="3" fillId="0" borderId="15" xfId="5" applyNumberFormat="1" applyFont="1" applyBorder="1" applyAlignment="1">
      <alignment horizontal="right" vertical="center"/>
    </xf>
    <xf numFmtId="0" fontId="0" fillId="0" borderId="0" xfId="0" applyFont="1"/>
    <xf numFmtId="4" fontId="3" fillId="0" borderId="8" xfId="1" applyNumberFormat="1" applyFont="1" applyFill="1" applyBorder="1" applyAlignment="1">
      <alignment horizontal="right"/>
    </xf>
    <xf numFmtId="4" fontId="3" fillId="0" borderId="15" xfId="1" applyNumberFormat="1" applyFont="1" applyFill="1" applyBorder="1" applyAlignment="1">
      <alignment horizontal="right"/>
    </xf>
    <xf numFmtId="0" fontId="0" fillId="0" borderId="0" xfId="0" applyFont="1" applyFill="1"/>
    <xf numFmtId="4" fontId="4" fillId="0" borderId="9" xfId="5" applyNumberFormat="1" applyFont="1" applyBorder="1" applyAlignment="1">
      <alignment horizontal="center" vertical="center"/>
    </xf>
    <xf numFmtId="4" fontId="4" fillId="0" borderId="10" xfId="5" applyNumberFormat="1" applyFont="1" applyBorder="1" applyAlignment="1">
      <alignment horizontal="center" vertical="center"/>
    </xf>
    <xf numFmtId="4" fontId="4" fillId="0" borderId="11" xfId="5" applyNumberFormat="1" applyFont="1" applyBorder="1" applyAlignment="1">
      <alignment horizontal="center" vertical="center"/>
    </xf>
    <xf numFmtId="2" fontId="7" fillId="0" borderId="1" xfId="3" applyNumberFormat="1" applyFont="1" applyFill="1" applyBorder="1" applyAlignment="1">
      <alignment horizontal="center" vertical="center"/>
    </xf>
    <xf numFmtId="2" fontId="7" fillId="0" borderId="16" xfId="3" applyNumberFormat="1" applyFont="1" applyFill="1" applyBorder="1" applyAlignment="1">
      <alignment horizontal="center" vertical="center"/>
    </xf>
    <xf numFmtId="2" fontId="7" fillId="0" borderId="5" xfId="3" applyNumberFormat="1" applyFont="1" applyFill="1" applyBorder="1" applyAlignment="1">
      <alignment horizontal="center" vertical="center"/>
    </xf>
    <xf numFmtId="49" fontId="7" fillId="0" borderId="2" xfId="3" applyNumberFormat="1" applyFont="1" applyFill="1" applyBorder="1" applyAlignment="1">
      <alignment horizontal="center" vertical="center"/>
    </xf>
    <xf numFmtId="49" fontId="7" fillId="0" borderId="3" xfId="3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7" fillId="0" borderId="6" xfId="3" applyNumberFormat="1" applyFont="1" applyFill="1" applyBorder="1" applyAlignment="1">
      <alignment horizontal="center" vertical="center"/>
    </xf>
    <xf numFmtId="4" fontId="4" fillId="0" borderId="9" xfId="5" applyNumberFormat="1" applyFont="1" applyFill="1" applyBorder="1" applyAlignment="1">
      <alignment horizontal="center" vertical="center"/>
    </xf>
    <xf numFmtId="4" fontId="4" fillId="0" borderId="10" xfId="5" applyNumberFormat="1" applyFont="1" applyFill="1" applyBorder="1" applyAlignment="1">
      <alignment horizontal="center" vertical="center"/>
    </xf>
    <xf numFmtId="4" fontId="4" fillId="0" borderId="11" xfId="5" applyNumberFormat="1" applyFont="1" applyFill="1" applyBorder="1" applyAlignment="1">
      <alignment horizontal="center" vertical="center"/>
    </xf>
    <xf numFmtId="4" fontId="4" fillId="0" borderId="9" xfId="1" applyNumberFormat="1" applyFont="1" applyFill="1" applyBorder="1" applyAlignment="1">
      <alignment horizontal="center"/>
    </xf>
    <xf numFmtId="4" fontId="4" fillId="0" borderId="10" xfId="1" applyNumberFormat="1" applyFont="1" applyFill="1" applyBorder="1" applyAlignment="1">
      <alignment horizontal="center"/>
    </xf>
    <xf numFmtId="4" fontId="4" fillId="0" borderId="11" xfId="1" applyNumberFormat="1" applyFont="1" applyFill="1" applyBorder="1" applyAlignment="1">
      <alignment horizontal="center"/>
    </xf>
    <xf numFmtId="43" fontId="3" fillId="0" borderId="1" xfId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4" fontId="4" fillId="0" borderId="12" xfId="1" applyNumberFormat="1" applyFont="1" applyFill="1" applyBorder="1" applyAlignment="1">
      <alignment horizontal="center"/>
    </xf>
    <xf numFmtId="4" fontId="4" fillId="0" borderId="13" xfId="1" applyNumberFormat="1" applyFont="1" applyFill="1" applyBorder="1" applyAlignment="1">
      <alignment horizontal="center"/>
    </xf>
    <xf numFmtId="4" fontId="4" fillId="0" borderId="14" xfId="1" applyNumberFormat="1" applyFont="1" applyFill="1" applyBorder="1" applyAlignment="1">
      <alignment horizontal="center"/>
    </xf>
    <xf numFmtId="164" fontId="3" fillId="0" borderId="2" xfId="1" applyNumberFormat="1" applyFont="1" applyFill="1" applyBorder="1" applyAlignment="1">
      <alignment horizontal="center" vertical="center"/>
    </xf>
    <xf numFmtId="164" fontId="3" fillId="0" borderId="3" xfId="1" applyNumberFormat="1" applyFont="1" applyFill="1" applyBorder="1" applyAlignment="1">
      <alignment horizontal="center" vertical="center"/>
    </xf>
    <xf numFmtId="164" fontId="3" fillId="0" borderId="4" xfId="1" applyNumberFormat="1" applyFont="1" applyFill="1" applyBorder="1" applyAlignment="1">
      <alignment horizontal="center" vertical="center"/>
    </xf>
    <xf numFmtId="4" fontId="4" fillId="0" borderId="9" xfId="3" applyNumberFormat="1" applyFont="1" applyFill="1" applyBorder="1" applyAlignment="1">
      <alignment horizontal="center"/>
    </xf>
    <xf numFmtId="4" fontId="4" fillId="0" borderId="10" xfId="3" applyNumberFormat="1" applyFont="1" applyFill="1" applyBorder="1" applyAlignment="1">
      <alignment horizontal="center"/>
    </xf>
    <xf numFmtId="4" fontId="4" fillId="0" borderId="11" xfId="3" applyNumberFormat="1" applyFont="1" applyFill="1" applyBorder="1" applyAlignment="1">
      <alignment horizontal="center"/>
    </xf>
  </cellXfs>
  <cellStyles count="8">
    <cellStyle name="Comma 2" xfId="5"/>
    <cellStyle name="Normal" xfId="0" builtinId="0"/>
    <cellStyle name="เครื่องหมายจุลภาค 2" xfId="1"/>
    <cellStyle name="เครื่องหมายจุลภาค 3" xfId="6"/>
    <cellStyle name="ปกติ 2" xfId="2"/>
    <cellStyle name="ปกติ 3" xfId="4"/>
    <cellStyle name="ปกติ 3 2" xfId="7"/>
    <cellStyle name="ปกติ_ประมาณการเดือน ธค.2547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pane xSplit="1" ySplit="5" topLeftCell="B18" activePane="bottomRight" state="frozen"/>
      <selection pane="topRight" activeCell="B1" sqref="B1"/>
      <selection pane="bottomLeft" activeCell="A6" sqref="A6"/>
      <selection pane="bottomRight" activeCell="I20" sqref="I20"/>
    </sheetView>
  </sheetViews>
  <sheetFormatPr defaultRowHeight="15" x14ac:dyDescent="0.25"/>
  <cols>
    <col min="1" max="1" width="36.7109375" customWidth="1"/>
    <col min="2" max="7" width="12.140625" customWidth="1"/>
  </cols>
  <sheetData>
    <row r="1" spans="1:7" ht="27.75" x14ac:dyDescent="0.65">
      <c r="A1" s="31" t="s">
        <v>62</v>
      </c>
      <c r="B1" s="31"/>
      <c r="C1" s="31"/>
      <c r="D1" s="31"/>
      <c r="E1" s="31"/>
      <c r="F1" s="31"/>
      <c r="G1" s="31"/>
    </row>
    <row r="2" spans="1:7" ht="21.75" x14ac:dyDescent="0.5">
      <c r="A2" s="32"/>
      <c r="B2" s="32"/>
      <c r="C2" s="32"/>
      <c r="D2" s="32"/>
      <c r="E2" s="32"/>
      <c r="F2" s="32"/>
      <c r="G2" s="32" t="s">
        <v>29</v>
      </c>
    </row>
    <row r="3" spans="1:7" ht="27.75" x14ac:dyDescent="0.25">
      <c r="A3" s="64" t="s">
        <v>1</v>
      </c>
      <c r="B3" s="67" t="s">
        <v>61</v>
      </c>
      <c r="C3" s="68"/>
      <c r="D3" s="68"/>
      <c r="E3" s="69"/>
      <c r="F3" s="69"/>
      <c r="G3" s="70"/>
    </row>
    <row r="4" spans="1:7" ht="27.75" x14ac:dyDescent="0.25">
      <c r="A4" s="65"/>
      <c r="B4" s="71" t="s">
        <v>26</v>
      </c>
      <c r="C4" s="71"/>
      <c r="D4" s="71"/>
      <c r="E4" s="71" t="s">
        <v>27</v>
      </c>
      <c r="F4" s="71"/>
      <c r="G4" s="71"/>
    </row>
    <row r="5" spans="1:7" ht="23.25" customHeight="1" x14ac:dyDescent="0.25">
      <c r="A5" s="66"/>
      <c r="B5" s="33" t="s">
        <v>2</v>
      </c>
      <c r="C5" s="33" t="s">
        <v>44</v>
      </c>
      <c r="D5" s="33" t="s">
        <v>4</v>
      </c>
      <c r="E5" s="33" t="s">
        <v>2</v>
      </c>
      <c r="F5" s="33" t="s">
        <v>44</v>
      </c>
      <c r="G5" s="33" t="s">
        <v>4</v>
      </c>
    </row>
    <row r="6" spans="1:7" ht="24" x14ac:dyDescent="0.55000000000000004">
      <c r="A6" s="34" t="s">
        <v>31</v>
      </c>
      <c r="B6" s="35">
        <f t="shared" ref="B6:G6" si="0">+B7+B12+B20</f>
        <v>6556.33</v>
      </c>
      <c r="C6" s="35">
        <f t="shared" si="0"/>
        <v>757.18000000000006</v>
      </c>
      <c r="D6" s="35">
        <f t="shared" si="0"/>
        <v>7313.51</v>
      </c>
      <c r="E6" s="35">
        <f t="shared" si="0"/>
        <v>5671.92</v>
      </c>
      <c r="F6" s="35">
        <f t="shared" si="0"/>
        <v>1176.5500000000002</v>
      </c>
      <c r="G6" s="35">
        <f t="shared" si="0"/>
        <v>6848.4699999999984</v>
      </c>
    </row>
    <row r="7" spans="1:7" ht="24" x14ac:dyDescent="0.55000000000000004">
      <c r="A7" s="36" t="s">
        <v>45</v>
      </c>
      <c r="B7" s="37">
        <f t="shared" ref="B7:G7" si="1">+B8+B9+B10+B11</f>
        <v>4546.3900000000003</v>
      </c>
      <c r="C7" s="37">
        <f t="shared" si="1"/>
        <v>174.43</v>
      </c>
      <c r="D7" s="37">
        <f t="shared" si="1"/>
        <v>4720.82</v>
      </c>
      <c r="E7" s="37">
        <f t="shared" si="1"/>
        <v>3791.87</v>
      </c>
      <c r="F7" s="37">
        <f t="shared" si="1"/>
        <v>103.61</v>
      </c>
      <c r="G7" s="37">
        <f t="shared" si="1"/>
        <v>3895.4799999999996</v>
      </c>
    </row>
    <row r="8" spans="1:7" ht="24" x14ac:dyDescent="0.55000000000000004">
      <c r="A8" s="38" t="s">
        <v>46</v>
      </c>
      <c r="B8" s="39">
        <v>310.82</v>
      </c>
      <c r="C8" s="39">
        <v>126.63</v>
      </c>
      <c r="D8" s="39">
        <f>+B8+C8</f>
        <v>437.45</v>
      </c>
      <c r="E8" s="39">
        <v>460.08</v>
      </c>
      <c r="F8" s="39">
        <v>53.85</v>
      </c>
      <c r="G8" s="39">
        <f>+E8+F8</f>
        <v>513.92999999999995</v>
      </c>
    </row>
    <row r="9" spans="1:7" ht="24" x14ac:dyDescent="0.55000000000000004">
      <c r="A9" s="38" t="s">
        <v>47</v>
      </c>
      <c r="B9" s="39">
        <v>385.4</v>
      </c>
      <c r="C9" s="39"/>
      <c r="D9" s="39">
        <f t="shared" ref="D9:D19" si="2">+B9+C9</f>
        <v>385.4</v>
      </c>
      <c r="E9" s="40">
        <v>425.6</v>
      </c>
      <c r="F9" s="40"/>
      <c r="G9" s="39">
        <f t="shared" ref="G9:G11" si="3">+E9+F9</f>
        <v>425.6</v>
      </c>
    </row>
    <row r="10" spans="1:7" ht="24" x14ac:dyDescent="0.55000000000000004">
      <c r="A10" s="38" t="s">
        <v>48</v>
      </c>
      <c r="B10" s="39">
        <v>459.12</v>
      </c>
      <c r="C10" s="39">
        <v>47.8</v>
      </c>
      <c r="D10" s="39">
        <f t="shared" si="2"/>
        <v>506.92</v>
      </c>
      <c r="E10" s="40">
        <v>346.26</v>
      </c>
      <c r="F10" s="40">
        <v>49.76</v>
      </c>
      <c r="G10" s="39">
        <f t="shared" si="3"/>
        <v>396.02</v>
      </c>
    </row>
    <row r="11" spans="1:7" ht="24" x14ac:dyDescent="0.55000000000000004">
      <c r="A11" s="38" t="s">
        <v>49</v>
      </c>
      <c r="B11" s="39">
        <v>3391.05</v>
      </c>
      <c r="C11" s="39"/>
      <c r="D11" s="39">
        <f t="shared" si="2"/>
        <v>3391.05</v>
      </c>
      <c r="E11" s="40">
        <v>2559.9299999999998</v>
      </c>
      <c r="F11" s="40"/>
      <c r="G11" s="39">
        <f t="shared" si="3"/>
        <v>2559.9299999999998</v>
      </c>
    </row>
    <row r="12" spans="1:7" ht="24" x14ac:dyDescent="0.55000000000000004">
      <c r="A12" s="36" t="s">
        <v>50</v>
      </c>
      <c r="B12" s="37">
        <f>+B13+B14+B15+B16+B17+B18+B19</f>
        <v>2009.9399999999998</v>
      </c>
      <c r="C12" s="37">
        <f>+C13+C14+C15+C16+C17+C18+C19</f>
        <v>104.3</v>
      </c>
      <c r="D12" s="37">
        <f t="shared" ref="D12:G12" si="4">+D13+D14+D15+D16+D17+D18+D19</f>
        <v>2114.2400000000007</v>
      </c>
      <c r="E12" s="37">
        <f t="shared" si="4"/>
        <v>1880.0500000000002</v>
      </c>
      <c r="F12" s="37">
        <f t="shared" si="4"/>
        <v>624.91000000000008</v>
      </c>
      <c r="G12" s="37">
        <f t="shared" si="4"/>
        <v>2504.9599999999996</v>
      </c>
    </row>
    <row r="13" spans="1:7" ht="24" x14ac:dyDescent="0.55000000000000004">
      <c r="A13" s="38" t="s">
        <v>51</v>
      </c>
      <c r="B13" s="39">
        <v>762.03</v>
      </c>
      <c r="C13" s="39">
        <v>104.3</v>
      </c>
      <c r="D13" s="40">
        <f t="shared" si="2"/>
        <v>866.32999999999993</v>
      </c>
      <c r="E13" s="40">
        <v>293.29000000000002</v>
      </c>
      <c r="F13" s="40">
        <v>624.57000000000005</v>
      </c>
      <c r="G13" s="40">
        <f>+E13+F13</f>
        <v>917.86000000000013</v>
      </c>
    </row>
    <row r="14" spans="1:7" ht="24" x14ac:dyDescent="0.55000000000000004">
      <c r="A14" s="38" t="s">
        <v>52</v>
      </c>
      <c r="B14" s="39">
        <v>971.34</v>
      </c>
      <c r="C14" s="39"/>
      <c r="D14" s="40">
        <f t="shared" si="2"/>
        <v>971.34</v>
      </c>
      <c r="E14" s="40">
        <v>1262.3399999999999</v>
      </c>
      <c r="F14" s="40"/>
      <c r="G14" s="40">
        <f t="shared" ref="G14:G19" si="5">+E14+F14</f>
        <v>1262.3399999999999</v>
      </c>
    </row>
    <row r="15" spans="1:7" ht="24" x14ac:dyDescent="0.55000000000000004">
      <c r="A15" s="38" t="s">
        <v>53</v>
      </c>
      <c r="B15" s="39">
        <v>215.23</v>
      </c>
      <c r="C15" s="41"/>
      <c r="D15" s="40">
        <f t="shared" si="2"/>
        <v>215.23</v>
      </c>
      <c r="E15" s="40">
        <v>259.49</v>
      </c>
      <c r="F15" s="40"/>
      <c r="G15" s="40">
        <f t="shared" si="5"/>
        <v>259.49</v>
      </c>
    </row>
    <row r="16" spans="1:7" ht="24" x14ac:dyDescent="0.55000000000000004">
      <c r="A16" s="38" t="s">
        <v>54</v>
      </c>
      <c r="B16" s="39">
        <v>4.59</v>
      </c>
      <c r="C16" s="41"/>
      <c r="D16" s="40">
        <f t="shared" si="2"/>
        <v>4.59</v>
      </c>
      <c r="E16" s="40">
        <v>1.1399999999999999</v>
      </c>
      <c r="F16" s="40"/>
      <c r="G16" s="40">
        <f t="shared" si="5"/>
        <v>1.1399999999999999</v>
      </c>
    </row>
    <row r="17" spans="1:7" ht="24" x14ac:dyDescent="0.55000000000000004">
      <c r="A17" s="38" t="s">
        <v>55</v>
      </c>
      <c r="B17" s="42">
        <v>27.19</v>
      </c>
      <c r="C17" s="42"/>
      <c r="D17" s="43">
        <f t="shared" si="2"/>
        <v>27.19</v>
      </c>
      <c r="E17" s="43">
        <v>10.71</v>
      </c>
      <c r="F17" s="43"/>
      <c r="G17" s="40">
        <f t="shared" si="5"/>
        <v>10.71</v>
      </c>
    </row>
    <row r="18" spans="1:7" ht="24" x14ac:dyDescent="0.55000000000000004">
      <c r="A18" s="44" t="s">
        <v>56</v>
      </c>
      <c r="B18" s="42">
        <v>27.03</v>
      </c>
      <c r="C18" s="42"/>
      <c r="D18" s="43">
        <f t="shared" si="2"/>
        <v>27.03</v>
      </c>
      <c r="E18" s="43">
        <v>52.9</v>
      </c>
      <c r="F18" s="43"/>
      <c r="G18" s="40">
        <f t="shared" si="5"/>
        <v>52.9</v>
      </c>
    </row>
    <row r="19" spans="1:7" ht="24" x14ac:dyDescent="0.55000000000000004">
      <c r="A19" s="38" t="s">
        <v>57</v>
      </c>
      <c r="B19" s="42">
        <v>2.5299999999999998</v>
      </c>
      <c r="C19" s="42"/>
      <c r="D19" s="43">
        <f t="shared" si="2"/>
        <v>2.5299999999999998</v>
      </c>
      <c r="E19" s="43">
        <v>0.18</v>
      </c>
      <c r="F19" s="43">
        <v>0.34</v>
      </c>
      <c r="G19" s="40">
        <f t="shared" si="5"/>
        <v>0.52</v>
      </c>
    </row>
    <row r="20" spans="1:7" ht="24" x14ac:dyDescent="0.25">
      <c r="A20" s="36" t="s">
        <v>32</v>
      </c>
      <c r="B20" s="45"/>
      <c r="C20" s="45">
        <f>ROUND((B7+C7+B12+C12)*0.07,2)</f>
        <v>478.45</v>
      </c>
      <c r="D20" s="46">
        <f>ROUND((D7+D12)*0.07,2)</f>
        <v>478.45</v>
      </c>
      <c r="E20" s="46"/>
      <c r="F20" s="46">
        <f>ROUND((E7+F7+E12+F12)*0.07,2)</f>
        <v>448.03</v>
      </c>
      <c r="G20" s="46">
        <f>ROUND((G7+G12)*0.07,2)</f>
        <v>448.03</v>
      </c>
    </row>
    <row r="21" spans="1:7" ht="24" x14ac:dyDescent="0.25">
      <c r="A21" s="36" t="s">
        <v>33</v>
      </c>
      <c r="B21" s="45">
        <f t="shared" ref="B21:G21" si="6">+B22+B23+B24</f>
        <v>0</v>
      </c>
      <c r="C21" s="45">
        <f t="shared" si="6"/>
        <v>1510.77</v>
      </c>
      <c r="D21" s="45">
        <f t="shared" si="6"/>
        <v>1510.77</v>
      </c>
      <c r="E21" s="45">
        <f t="shared" si="6"/>
        <v>0</v>
      </c>
      <c r="F21" s="45">
        <f t="shared" si="6"/>
        <v>1563.16</v>
      </c>
      <c r="G21" s="45">
        <f t="shared" si="6"/>
        <v>1563.16</v>
      </c>
    </row>
    <row r="22" spans="1:7" ht="24" x14ac:dyDescent="0.25">
      <c r="A22" s="38" t="s">
        <v>37</v>
      </c>
      <c r="B22" s="42"/>
      <c r="C22" s="42">
        <v>1467.36</v>
      </c>
      <c r="D22" s="43">
        <f t="shared" ref="D22:D23" si="7">+B22+C22</f>
        <v>1467.36</v>
      </c>
      <c r="E22" s="43"/>
      <c r="F22" s="43">
        <v>1501.14</v>
      </c>
      <c r="G22" s="43">
        <f>+E22+F22</f>
        <v>1501.14</v>
      </c>
    </row>
    <row r="23" spans="1:7" ht="24" x14ac:dyDescent="0.25">
      <c r="A23" s="38" t="s">
        <v>34</v>
      </c>
      <c r="B23" s="42"/>
      <c r="C23" s="42">
        <v>30.7</v>
      </c>
      <c r="D23" s="43">
        <f t="shared" si="7"/>
        <v>30.7</v>
      </c>
      <c r="E23" s="43"/>
      <c r="F23" s="43">
        <v>41.35</v>
      </c>
      <c r="G23" s="43">
        <f t="shared" ref="G23:G24" si="8">+E23+F23</f>
        <v>41.35</v>
      </c>
    </row>
    <row r="24" spans="1:7" ht="24" x14ac:dyDescent="0.25">
      <c r="A24" s="47" t="s">
        <v>38</v>
      </c>
      <c r="B24" s="42"/>
      <c r="C24" s="42">
        <v>12.71</v>
      </c>
      <c r="D24" s="43">
        <f>+B24+C24</f>
        <v>12.71</v>
      </c>
      <c r="E24" s="43"/>
      <c r="F24" s="43">
        <v>20.67</v>
      </c>
      <c r="G24" s="43">
        <f t="shared" si="8"/>
        <v>20.67</v>
      </c>
    </row>
    <row r="25" spans="1:7" ht="24" x14ac:dyDescent="0.25">
      <c r="A25" s="36" t="s">
        <v>58</v>
      </c>
      <c r="B25" s="45">
        <f t="shared" ref="B25:G25" si="9">+B6+B21</f>
        <v>6556.33</v>
      </c>
      <c r="C25" s="45">
        <f t="shared" si="9"/>
        <v>2267.9499999999998</v>
      </c>
      <c r="D25" s="45">
        <f t="shared" si="9"/>
        <v>8824.2800000000007</v>
      </c>
      <c r="E25" s="45">
        <f>+E6+E21</f>
        <v>5671.92</v>
      </c>
      <c r="F25" s="45">
        <f t="shared" si="9"/>
        <v>2739.71</v>
      </c>
      <c r="G25" s="45">
        <f t="shared" si="9"/>
        <v>8411.6299999999992</v>
      </c>
    </row>
    <row r="26" spans="1:7" ht="24" x14ac:dyDescent="0.25">
      <c r="A26" s="48" t="s">
        <v>20</v>
      </c>
      <c r="B26" s="50">
        <f>+ROUND(B25/B27,2)</f>
        <v>0.56000000000000005</v>
      </c>
      <c r="C26" s="50">
        <f>+ROUND(C25/B27,2)</f>
        <v>0.19</v>
      </c>
      <c r="D26" s="50">
        <f>+ROUND(D25/B27,2)</f>
        <v>0.76</v>
      </c>
      <c r="E26" s="50">
        <f>+ROUND(E25/E27,2)</f>
        <v>0.5</v>
      </c>
      <c r="F26" s="50">
        <f>+ROUND(F25/E27,2)</f>
        <v>0.24</v>
      </c>
      <c r="G26" s="50">
        <f>+ROUND(G25/E27,2)</f>
        <v>0.75</v>
      </c>
    </row>
    <row r="27" spans="1:7" s="57" customFormat="1" ht="24" x14ac:dyDescent="0.25">
      <c r="A27" s="51" t="s">
        <v>59</v>
      </c>
      <c r="B27" s="72">
        <v>11641.92</v>
      </c>
      <c r="C27" s="73"/>
      <c r="D27" s="74"/>
      <c r="E27" s="72">
        <v>11275.65</v>
      </c>
      <c r="F27" s="73"/>
      <c r="G27" s="74"/>
    </row>
    <row r="28" spans="1:7" s="57" customFormat="1" ht="24" x14ac:dyDescent="0.25">
      <c r="A28" s="51" t="s">
        <v>60</v>
      </c>
      <c r="B28" s="61">
        <v>0.61</v>
      </c>
      <c r="C28" s="62"/>
      <c r="D28" s="63"/>
      <c r="E28" s="61">
        <v>0.61</v>
      </c>
      <c r="F28" s="62"/>
      <c r="G28" s="63"/>
    </row>
    <row r="29" spans="1:7" s="57" customFormat="1" ht="24" x14ac:dyDescent="0.25">
      <c r="A29" s="51" t="s">
        <v>30</v>
      </c>
      <c r="B29" s="61">
        <f>+ROUND(B27*B28,2)</f>
        <v>7101.57</v>
      </c>
      <c r="C29" s="62"/>
      <c r="D29" s="63"/>
      <c r="E29" s="61">
        <f>+ROUND(E27*E28,2)</f>
        <v>6878.15</v>
      </c>
      <c r="F29" s="62"/>
      <c r="G29" s="63"/>
    </row>
    <row r="30" spans="1:7" ht="24" x14ac:dyDescent="0.25">
      <c r="A30" s="48" t="s">
        <v>24</v>
      </c>
      <c r="B30" s="52">
        <f>B29-B25</f>
        <v>545.23999999999978</v>
      </c>
      <c r="C30" s="49"/>
      <c r="D30" s="50">
        <f>+B29-D25</f>
        <v>-1722.7100000000009</v>
      </c>
      <c r="E30" s="52">
        <f>E29-E25</f>
        <v>1206.2299999999996</v>
      </c>
      <c r="F30" s="49"/>
      <c r="G30" s="50">
        <f>+E29-G25</f>
        <v>-1533.4799999999996</v>
      </c>
    </row>
    <row r="31" spans="1:7" ht="24" x14ac:dyDescent="0.25">
      <c r="A31" s="53" t="s">
        <v>36</v>
      </c>
      <c r="B31" s="54">
        <f>+ROUND(B30/B27,2)</f>
        <v>0.05</v>
      </c>
      <c r="C31" s="55"/>
      <c r="D31" s="56">
        <f>+ROUND(D30/B27,2)</f>
        <v>-0.15</v>
      </c>
      <c r="E31" s="54">
        <f>+ROUND(E30/E27,2)</f>
        <v>0.11</v>
      </c>
      <c r="F31" s="55"/>
      <c r="G31" s="56">
        <f>+ROUND(G30/E27,2)</f>
        <v>-0.14000000000000001</v>
      </c>
    </row>
  </sheetData>
  <mergeCells count="10">
    <mergeCell ref="E29:G29"/>
    <mergeCell ref="B29:D29"/>
    <mergeCell ref="A3:A5"/>
    <mergeCell ref="B3:G3"/>
    <mergeCell ref="B4:D4"/>
    <mergeCell ref="E4:G4"/>
    <mergeCell ref="B28:D28"/>
    <mergeCell ref="B27:D27"/>
    <mergeCell ref="E27:G27"/>
    <mergeCell ref="E28:G28"/>
  </mergeCells>
  <pageMargins left="0.18" right="0.17" top="0.75" bottom="0.75" header="0.3" footer="0.3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pane xSplit="1" ySplit="4" topLeftCell="B20" activePane="bottomRight" state="frozen"/>
      <selection pane="topRight" activeCell="B1" sqref="B1"/>
      <selection pane="bottomLeft" activeCell="A5" sqref="A5"/>
      <selection pane="bottomRight" activeCell="A28" sqref="A28"/>
    </sheetView>
  </sheetViews>
  <sheetFormatPr defaultColWidth="9" defaultRowHeight="24" x14ac:dyDescent="0.55000000000000004"/>
  <cols>
    <col min="1" max="1" width="41" style="3" customWidth="1"/>
    <col min="2" max="4" width="14" style="4" customWidth="1"/>
    <col min="5" max="5" width="9" style="4"/>
    <col min="6" max="6" width="9.5703125" style="4" bestFit="1" customWidth="1"/>
    <col min="7" max="16384" width="9" style="4"/>
  </cols>
  <sheetData>
    <row r="1" spans="1:4" x14ac:dyDescent="0.55000000000000004">
      <c r="A1" s="1" t="s">
        <v>64</v>
      </c>
      <c r="B1" s="2"/>
      <c r="C1" s="2"/>
      <c r="D1" s="2"/>
    </row>
    <row r="2" spans="1:4" x14ac:dyDescent="0.55000000000000004">
      <c r="A2" s="1"/>
      <c r="B2" s="6"/>
      <c r="C2" s="6"/>
      <c r="D2" s="7" t="s">
        <v>0</v>
      </c>
    </row>
    <row r="3" spans="1:4" x14ac:dyDescent="0.55000000000000004">
      <c r="A3" s="78" t="s">
        <v>1</v>
      </c>
      <c r="B3" s="80" t="s">
        <v>61</v>
      </c>
      <c r="C3" s="80"/>
      <c r="D3" s="81"/>
    </row>
    <row r="4" spans="1:4" x14ac:dyDescent="0.55000000000000004">
      <c r="A4" s="79"/>
      <c r="B4" s="8" t="s">
        <v>2</v>
      </c>
      <c r="C4" s="8" t="s">
        <v>3</v>
      </c>
      <c r="D4" s="9" t="s">
        <v>4</v>
      </c>
    </row>
    <row r="5" spans="1:4" x14ac:dyDescent="0.55000000000000004">
      <c r="A5" s="10" t="s">
        <v>5</v>
      </c>
      <c r="B5" s="11">
        <f>B6+B9+B16</f>
        <v>14119.88</v>
      </c>
      <c r="C5" s="11">
        <f>C6+C9+C16</f>
        <v>1610.9199999999998</v>
      </c>
      <c r="D5" s="12">
        <f>D6+D9+D16</f>
        <v>15730.8</v>
      </c>
    </row>
    <row r="6" spans="1:4" x14ac:dyDescent="0.55000000000000004">
      <c r="A6" s="13" t="s">
        <v>6</v>
      </c>
      <c r="B6" s="14">
        <f t="shared" ref="B6:D6" si="0">SUM(B7:B8)</f>
        <v>7111.09</v>
      </c>
      <c r="C6" s="14">
        <f t="shared" si="0"/>
        <v>478.56</v>
      </c>
      <c r="D6" s="15">
        <f t="shared" si="0"/>
        <v>7589.65</v>
      </c>
    </row>
    <row r="7" spans="1:4" x14ac:dyDescent="0.55000000000000004">
      <c r="A7" s="16" t="s">
        <v>7</v>
      </c>
      <c r="B7" s="17">
        <v>3180.89</v>
      </c>
      <c r="C7" s="17">
        <v>477.56</v>
      </c>
      <c r="D7" s="17">
        <f>SUM(B7:C7)</f>
        <v>3658.45</v>
      </c>
    </row>
    <row r="8" spans="1:4" x14ac:dyDescent="0.55000000000000004">
      <c r="A8" s="16" t="s">
        <v>42</v>
      </c>
      <c r="B8" s="17">
        <v>3930.2</v>
      </c>
      <c r="C8" s="17">
        <v>1</v>
      </c>
      <c r="D8" s="17">
        <f>SUM(B8:C8)</f>
        <v>3931.2</v>
      </c>
    </row>
    <row r="9" spans="1:4" x14ac:dyDescent="0.55000000000000004">
      <c r="A9" s="13" t="s">
        <v>8</v>
      </c>
      <c r="B9" s="14">
        <f>SUM(B10:B15)</f>
        <v>7008.7899999999991</v>
      </c>
      <c r="C9" s="14">
        <f>SUM(C10:C15)</f>
        <v>103.24</v>
      </c>
      <c r="D9" s="15">
        <f>SUM(D10:D15)</f>
        <v>7112.03</v>
      </c>
    </row>
    <row r="10" spans="1:4" x14ac:dyDescent="0.55000000000000004">
      <c r="A10" s="16" t="s">
        <v>9</v>
      </c>
      <c r="B10" s="17">
        <v>1858.77</v>
      </c>
      <c r="C10" s="17"/>
      <c r="D10" s="17">
        <f t="shared" ref="D10:D16" si="1">SUM(B10:C10)</f>
        <v>1858.77</v>
      </c>
    </row>
    <row r="11" spans="1:4" x14ac:dyDescent="0.55000000000000004">
      <c r="A11" s="16" t="s">
        <v>10</v>
      </c>
      <c r="B11" s="17">
        <v>1960.05</v>
      </c>
      <c r="C11" s="17"/>
      <c r="D11" s="17">
        <f t="shared" si="1"/>
        <v>1960.05</v>
      </c>
    </row>
    <row r="12" spans="1:4" x14ac:dyDescent="0.55000000000000004">
      <c r="A12" s="16" t="s">
        <v>39</v>
      </c>
      <c r="B12" s="17">
        <v>420.72</v>
      </c>
      <c r="C12" s="17">
        <v>10.71</v>
      </c>
      <c r="D12" s="17">
        <f t="shared" si="1"/>
        <v>431.43</v>
      </c>
    </row>
    <row r="13" spans="1:4" x14ac:dyDescent="0.55000000000000004">
      <c r="A13" s="18" t="s">
        <v>11</v>
      </c>
      <c r="B13" s="17">
        <v>426.65</v>
      </c>
      <c r="C13" s="17"/>
      <c r="D13" s="17">
        <f t="shared" si="1"/>
        <v>426.65</v>
      </c>
    </row>
    <row r="14" spans="1:4" x14ac:dyDescent="0.55000000000000004">
      <c r="A14" s="19" t="s">
        <v>28</v>
      </c>
      <c r="B14" s="17">
        <v>2289.7399999999998</v>
      </c>
      <c r="C14" s="17">
        <v>91.54</v>
      </c>
      <c r="D14" s="17">
        <f t="shared" si="1"/>
        <v>2381.2799999999997</v>
      </c>
    </row>
    <row r="15" spans="1:4" x14ac:dyDescent="0.55000000000000004">
      <c r="A15" s="16" t="s">
        <v>12</v>
      </c>
      <c r="B15" s="17">
        <v>52.86</v>
      </c>
      <c r="C15" s="17">
        <v>0.99</v>
      </c>
      <c r="D15" s="17">
        <f t="shared" si="1"/>
        <v>53.85</v>
      </c>
    </row>
    <row r="16" spans="1:4" x14ac:dyDescent="0.55000000000000004">
      <c r="A16" s="20" t="s">
        <v>13</v>
      </c>
      <c r="B16" s="14"/>
      <c r="C16" s="14">
        <f>ROUND(((C6+C9)*0.07),2)+ROUND(((B6+B9)*0.07),2)</f>
        <v>1029.1199999999999</v>
      </c>
      <c r="D16" s="15">
        <f t="shared" si="1"/>
        <v>1029.1199999999999</v>
      </c>
    </row>
    <row r="17" spans="1:4" x14ac:dyDescent="0.55000000000000004">
      <c r="A17" s="13" t="s">
        <v>14</v>
      </c>
      <c r="B17" s="14">
        <f t="shared" ref="B17:D17" si="2">SUM(B18:B21)</f>
        <v>0</v>
      </c>
      <c r="C17" s="14">
        <f t="shared" si="2"/>
        <v>3160.0600000000004</v>
      </c>
      <c r="D17" s="15">
        <f t="shared" si="2"/>
        <v>3160.0600000000004</v>
      </c>
    </row>
    <row r="18" spans="1:4" x14ac:dyDescent="0.55000000000000004">
      <c r="A18" s="16" t="s">
        <v>15</v>
      </c>
      <c r="B18" s="17"/>
      <c r="C18" s="17">
        <v>1787.47</v>
      </c>
      <c r="D18" s="17">
        <f>SUM(B18:C18)</f>
        <v>1787.47</v>
      </c>
    </row>
    <row r="19" spans="1:4" x14ac:dyDescent="0.55000000000000004">
      <c r="A19" s="16" t="s">
        <v>16</v>
      </c>
      <c r="B19" s="17"/>
      <c r="C19" s="17">
        <v>384.2</v>
      </c>
      <c r="D19" s="17">
        <f>SUM(B19:C19)</f>
        <v>384.2</v>
      </c>
    </row>
    <row r="20" spans="1:4" s="22" customFormat="1" x14ac:dyDescent="0.55000000000000004">
      <c r="A20" s="21" t="s">
        <v>17</v>
      </c>
      <c r="B20" s="17"/>
      <c r="C20" s="17">
        <v>203.94</v>
      </c>
      <c r="D20" s="17">
        <f>SUM(B20:C20)</f>
        <v>203.94</v>
      </c>
    </row>
    <row r="21" spans="1:4" x14ac:dyDescent="0.55000000000000004">
      <c r="A21" s="16" t="s">
        <v>18</v>
      </c>
      <c r="B21" s="17"/>
      <c r="C21" s="17">
        <v>784.45</v>
      </c>
      <c r="D21" s="17">
        <f>SUM(B21:C21)</f>
        <v>784.45</v>
      </c>
    </row>
    <row r="22" spans="1:4" x14ac:dyDescent="0.55000000000000004">
      <c r="A22" s="13" t="s">
        <v>19</v>
      </c>
      <c r="B22" s="14">
        <f>B5+B17</f>
        <v>14119.88</v>
      </c>
      <c r="C22" s="14">
        <f>C5+C17</f>
        <v>4770.9800000000005</v>
      </c>
      <c r="D22" s="15">
        <f>D5+D17</f>
        <v>18890.86</v>
      </c>
    </row>
    <row r="23" spans="1:4" x14ac:dyDescent="0.55000000000000004">
      <c r="A23" s="13" t="s">
        <v>20</v>
      </c>
      <c r="B23" s="15">
        <f>ROUND(B22/B24,2)</f>
        <v>11.24</v>
      </c>
      <c r="C23" s="15">
        <f>ROUND(C22/B24,2)</f>
        <v>3.8</v>
      </c>
      <c r="D23" s="15">
        <f>ROUND(D22/B24,2)</f>
        <v>15.04</v>
      </c>
    </row>
    <row r="24" spans="1:4" x14ac:dyDescent="0.55000000000000004">
      <c r="A24" s="21" t="s">
        <v>21</v>
      </c>
      <c r="B24" s="75">
        <v>1256.3599999999999</v>
      </c>
      <c r="C24" s="76"/>
      <c r="D24" s="77"/>
    </row>
    <row r="25" spans="1:4" x14ac:dyDescent="0.55000000000000004">
      <c r="A25" s="21" t="s">
        <v>22</v>
      </c>
      <c r="B25" s="82">
        <v>40.06</v>
      </c>
      <c r="C25" s="83"/>
      <c r="D25" s="84"/>
    </row>
    <row r="26" spans="1:4" x14ac:dyDescent="0.55000000000000004">
      <c r="A26" s="21" t="s">
        <v>23</v>
      </c>
      <c r="B26" s="75">
        <f>B24*B25</f>
        <v>50329.781600000002</v>
      </c>
      <c r="C26" s="76"/>
      <c r="D26" s="77"/>
    </row>
    <row r="27" spans="1:4" s="2" customFormat="1" x14ac:dyDescent="0.55000000000000004">
      <c r="A27" s="23" t="s">
        <v>24</v>
      </c>
      <c r="B27" s="58">
        <f>B26-B22</f>
        <v>36209.901600000005</v>
      </c>
      <c r="C27" s="58"/>
      <c r="D27" s="58">
        <f>B26-D22</f>
        <v>31438.921600000001</v>
      </c>
    </row>
    <row r="28" spans="1:4" s="2" customFormat="1" x14ac:dyDescent="0.55000000000000004">
      <c r="A28" s="24" t="s">
        <v>25</v>
      </c>
      <c r="B28" s="59">
        <f>B25-B23</f>
        <v>28.82</v>
      </c>
      <c r="C28" s="59"/>
      <c r="D28" s="59">
        <f>B25-D23</f>
        <v>25.020000000000003</v>
      </c>
    </row>
    <row r="29" spans="1:4" x14ac:dyDescent="0.55000000000000004">
      <c r="A29" s="25"/>
    </row>
    <row r="30" spans="1:4" x14ac:dyDescent="0.55000000000000004">
      <c r="A30" s="26"/>
    </row>
  </sheetData>
  <mergeCells count="5">
    <mergeCell ref="B26:D26"/>
    <mergeCell ref="A3:A4"/>
    <mergeCell ref="B3:D3"/>
    <mergeCell ref="B24:D24"/>
    <mergeCell ref="B25:D25"/>
  </mergeCells>
  <pageMargins left="0.7" right="0.7" top="0.75" bottom="0.75" header="0.3" footer="0.3"/>
  <pageSetup paperSize="9" scale="9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pane xSplit="1" ySplit="5" topLeftCell="B21" activePane="bottomRight" state="frozen"/>
      <selection pane="topRight" activeCell="B1" sqref="B1"/>
      <selection pane="bottomLeft" activeCell="A6" sqref="A6"/>
      <selection pane="bottomRight" activeCell="J24" sqref="J24"/>
    </sheetView>
  </sheetViews>
  <sheetFormatPr defaultColWidth="9" defaultRowHeight="24" x14ac:dyDescent="0.55000000000000004"/>
  <cols>
    <col min="1" max="1" width="38.5703125" style="3" customWidth="1"/>
    <col min="2" max="7" width="11.5703125" style="4" customWidth="1"/>
    <col min="8" max="16384" width="9" style="4"/>
  </cols>
  <sheetData>
    <row r="1" spans="1:7" ht="27.75" x14ac:dyDescent="0.65">
      <c r="A1" s="30" t="s">
        <v>65</v>
      </c>
      <c r="B1" s="2"/>
      <c r="C1" s="2"/>
      <c r="D1" s="2"/>
      <c r="E1" s="2"/>
      <c r="F1" s="2"/>
      <c r="G1" s="2"/>
    </row>
    <row r="2" spans="1:7" x14ac:dyDescent="0.55000000000000004">
      <c r="A2" s="1"/>
      <c r="B2" s="5"/>
      <c r="C2" s="6"/>
      <c r="D2" s="6"/>
      <c r="E2" s="6"/>
      <c r="F2" s="6"/>
      <c r="G2" s="7" t="s">
        <v>0</v>
      </c>
    </row>
    <row r="3" spans="1:7" x14ac:dyDescent="0.55000000000000004">
      <c r="A3" s="28"/>
      <c r="B3" s="85" t="s">
        <v>61</v>
      </c>
      <c r="C3" s="86"/>
      <c r="D3" s="86"/>
      <c r="E3" s="69"/>
      <c r="F3" s="69"/>
      <c r="G3" s="70"/>
    </row>
    <row r="4" spans="1:7" x14ac:dyDescent="0.55000000000000004">
      <c r="A4" s="29" t="s">
        <v>1</v>
      </c>
      <c r="B4" s="85" t="s">
        <v>26</v>
      </c>
      <c r="C4" s="86"/>
      <c r="D4" s="86"/>
      <c r="E4" s="85" t="s">
        <v>27</v>
      </c>
      <c r="F4" s="86"/>
      <c r="G4" s="87"/>
    </row>
    <row r="5" spans="1:7" x14ac:dyDescent="0.55000000000000004">
      <c r="A5" s="27"/>
      <c r="B5" s="8" t="s">
        <v>2</v>
      </c>
      <c r="C5" s="8" t="s">
        <v>3</v>
      </c>
      <c r="D5" s="9" t="s">
        <v>4</v>
      </c>
      <c r="E5" s="8" t="s">
        <v>2</v>
      </c>
      <c r="F5" s="8" t="s">
        <v>3</v>
      </c>
      <c r="G5" s="9" t="s">
        <v>4</v>
      </c>
    </row>
    <row r="6" spans="1:7" x14ac:dyDescent="0.55000000000000004">
      <c r="A6" s="10" t="s">
        <v>5</v>
      </c>
      <c r="B6" s="11">
        <f t="shared" ref="B6:G6" si="0">B7+B12+B20</f>
        <v>1981.7999999999997</v>
      </c>
      <c r="C6" s="11">
        <f t="shared" si="0"/>
        <v>616.72</v>
      </c>
      <c r="D6" s="12">
        <f t="shared" si="0"/>
        <v>2598.52</v>
      </c>
      <c r="E6" s="11">
        <f t="shared" si="0"/>
        <v>1897.3500000000001</v>
      </c>
      <c r="F6" s="11">
        <f t="shared" si="0"/>
        <v>865.06999999999994</v>
      </c>
      <c r="G6" s="12">
        <f t="shared" si="0"/>
        <v>2762.42</v>
      </c>
    </row>
    <row r="7" spans="1:7" x14ac:dyDescent="0.55000000000000004">
      <c r="A7" s="13" t="s">
        <v>6</v>
      </c>
      <c r="B7" s="14">
        <f t="shared" ref="B7:G7" si="1">SUM(B8:B11)</f>
        <v>1238.1999999999998</v>
      </c>
      <c r="C7" s="14">
        <f t="shared" si="1"/>
        <v>353.25</v>
      </c>
      <c r="D7" s="15">
        <f t="shared" si="1"/>
        <v>1591.45</v>
      </c>
      <c r="E7" s="14">
        <f t="shared" si="1"/>
        <v>1135.72</v>
      </c>
      <c r="F7" s="14">
        <f t="shared" si="1"/>
        <v>554.37</v>
      </c>
      <c r="G7" s="15">
        <f t="shared" si="1"/>
        <v>1690.0900000000001</v>
      </c>
    </row>
    <row r="8" spans="1:7" x14ac:dyDescent="0.55000000000000004">
      <c r="A8" s="16" t="s">
        <v>40</v>
      </c>
      <c r="B8" s="17">
        <v>438.05</v>
      </c>
      <c r="C8" s="17">
        <v>169.71</v>
      </c>
      <c r="D8" s="17">
        <f t="shared" ref="D8:D9" si="2">SUM(B8:C8)</f>
        <v>607.76</v>
      </c>
      <c r="E8" s="17">
        <v>375.72</v>
      </c>
      <c r="F8" s="17">
        <v>280.98</v>
      </c>
      <c r="G8" s="17">
        <f t="shared" ref="G8:G9" si="3">SUM(E8:F8)</f>
        <v>656.7</v>
      </c>
    </row>
    <row r="9" spans="1:7" x14ac:dyDescent="0.55000000000000004">
      <c r="A9" s="16" t="s">
        <v>41</v>
      </c>
      <c r="B9" s="17">
        <v>46.46</v>
      </c>
      <c r="C9" s="17">
        <v>14.94</v>
      </c>
      <c r="D9" s="17">
        <f t="shared" si="2"/>
        <v>61.4</v>
      </c>
      <c r="E9" s="17">
        <v>106.34</v>
      </c>
      <c r="F9" s="17">
        <v>5.53</v>
      </c>
      <c r="G9" s="17">
        <f t="shared" si="3"/>
        <v>111.87</v>
      </c>
    </row>
    <row r="10" spans="1:7" x14ac:dyDescent="0.55000000000000004">
      <c r="A10" s="16" t="s">
        <v>7</v>
      </c>
      <c r="B10" s="17">
        <v>104.07</v>
      </c>
      <c r="C10" s="17">
        <v>152.27000000000001</v>
      </c>
      <c r="D10" s="17">
        <f>SUM(B10:C10)</f>
        <v>256.34000000000003</v>
      </c>
      <c r="E10" s="17">
        <v>92.39</v>
      </c>
      <c r="F10" s="17">
        <v>135.33000000000001</v>
      </c>
      <c r="G10" s="17">
        <f>SUM(E10:F10)</f>
        <v>227.72000000000003</v>
      </c>
    </row>
    <row r="11" spans="1:7" x14ac:dyDescent="0.55000000000000004">
      <c r="A11" s="16" t="s">
        <v>42</v>
      </c>
      <c r="B11" s="17">
        <v>649.62</v>
      </c>
      <c r="C11" s="17">
        <v>16.329999999999998</v>
      </c>
      <c r="D11" s="17">
        <f>SUM(B11:C11)</f>
        <v>665.95</v>
      </c>
      <c r="E11" s="17">
        <v>561.27</v>
      </c>
      <c r="F11" s="17">
        <v>132.53</v>
      </c>
      <c r="G11" s="17">
        <f>SUM(E11:F11)</f>
        <v>693.8</v>
      </c>
    </row>
    <row r="12" spans="1:7" x14ac:dyDescent="0.55000000000000004">
      <c r="A12" s="13" t="s">
        <v>8</v>
      </c>
      <c r="B12" s="14">
        <f t="shared" ref="B12:G12" si="4">SUM(B13:B19)</f>
        <v>743.6</v>
      </c>
      <c r="C12" s="15">
        <f t="shared" si="4"/>
        <v>175.6</v>
      </c>
      <c r="D12" s="15">
        <f t="shared" si="4"/>
        <v>919.2</v>
      </c>
      <c r="E12" s="14">
        <f t="shared" si="4"/>
        <v>761.63000000000011</v>
      </c>
      <c r="F12" s="14">
        <f t="shared" si="4"/>
        <v>217.28</v>
      </c>
      <c r="G12" s="15">
        <f t="shared" si="4"/>
        <v>978.91</v>
      </c>
    </row>
    <row r="13" spans="1:7" x14ac:dyDescent="0.55000000000000004">
      <c r="A13" s="16" t="s">
        <v>43</v>
      </c>
      <c r="B13" s="17">
        <v>74.87</v>
      </c>
      <c r="C13" s="17">
        <v>164.95</v>
      </c>
      <c r="D13" s="17">
        <f t="shared" ref="D13:D20" si="5">SUM(B13:C13)</f>
        <v>239.82</v>
      </c>
      <c r="E13" s="17">
        <v>81.94</v>
      </c>
      <c r="F13" s="17">
        <v>146.71</v>
      </c>
      <c r="G13" s="17">
        <f t="shared" ref="G13:G20" si="6">SUM(E13:F13)</f>
        <v>228.65</v>
      </c>
    </row>
    <row r="14" spans="1:7" x14ac:dyDescent="0.55000000000000004">
      <c r="A14" s="16" t="s">
        <v>9</v>
      </c>
      <c r="B14" s="17">
        <v>504.07</v>
      </c>
      <c r="C14" s="17"/>
      <c r="D14" s="17">
        <f t="shared" si="5"/>
        <v>504.07</v>
      </c>
      <c r="E14" s="17">
        <v>487.95</v>
      </c>
      <c r="F14" s="17">
        <v>69.349999999999994</v>
      </c>
      <c r="G14" s="17">
        <f t="shared" si="6"/>
        <v>557.29999999999995</v>
      </c>
    </row>
    <row r="15" spans="1:7" x14ac:dyDescent="0.55000000000000004">
      <c r="A15" s="16" t="s">
        <v>10</v>
      </c>
      <c r="B15" s="17">
        <v>40.83</v>
      </c>
      <c r="C15" s="17"/>
      <c r="D15" s="17">
        <f t="shared" si="5"/>
        <v>40.83</v>
      </c>
      <c r="E15" s="17">
        <v>20.190000000000001</v>
      </c>
      <c r="F15" s="17"/>
      <c r="G15" s="17">
        <f t="shared" si="6"/>
        <v>20.190000000000001</v>
      </c>
    </row>
    <row r="16" spans="1:7" x14ac:dyDescent="0.55000000000000004">
      <c r="A16" s="16" t="s">
        <v>39</v>
      </c>
      <c r="B16" s="17">
        <v>3.55</v>
      </c>
      <c r="C16" s="17">
        <v>5.44</v>
      </c>
      <c r="D16" s="17">
        <f t="shared" si="5"/>
        <v>8.99</v>
      </c>
      <c r="E16" s="17"/>
      <c r="F16" s="17"/>
      <c r="G16" s="17">
        <f t="shared" si="6"/>
        <v>0</v>
      </c>
    </row>
    <row r="17" spans="1:7" x14ac:dyDescent="0.55000000000000004">
      <c r="A17" s="18" t="s">
        <v>11</v>
      </c>
      <c r="B17" s="17">
        <v>63.15</v>
      </c>
      <c r="C17" s="17"/>
      <c r="D17" s="17">
        <f t="shared" si="5"/>
        <v>63.15</v>
      </c>
      <c r="E17" s="17">
        <v>115.24</v>
      </c>
      <c r="F17" s="17"/>
      <c r="G17" s="17">
        <f t="shared" si="6"/>
        <v>115.24</v>
      </c>
    </row>
    <row r="18" spans="1:7" x14ac:dyDescent="0.55000000000000004">
      <c r="A18" s="19" t="s">
        <v>28</v>
      </c>
      <c r="B18" s="17">
        <v>50.66</v>
      </c>
      <c r="C18" s="17">
        <v>0.47</v>
      </c>
      <c r="D18" s="17">
        <f t="shared" si="5"/>
        <v>51.129999999999995</v>
      </c>
      <c r="E18" s="17">
        <v>40.06</v>
      </c>
      <c r="F18" s="17">
        <v>0.19</v>
      </c>
      <c r="G18" s="17">
        <f t="shared" si="6"/>
        <v>40.25</v>
      </c>
    </row>
    <row r="19" spans="1:7" x14ac:dyDescent="0.55000000000000004">
      <c r="A19" s="16" t="s">
        <v>12</v>
      </c>
      <c r="B19" s="17">
        <v>6.47</v>
      </c>
      <c r="C19" s="17">
        <v>4.74</v>
      </c>
      <c r="D19" s="17">
        <f t="shared" si="5"/>
        <v>11.21</v>
      </c>
      <c r="E19" s="17">
        <v>16.25</v>
      </c>
      <c r="F19" s="17">
        <v>1.03</v>
      </c>
      <c r="G19" s="17">
        <f t="shared" si="6"/>
        <v>17.28</v>
      </c>
    </row>
    <row r="20" spans="1:7" x14ac:dyDescent="0.55000000000000004">
      <c r="A20" s="20" t="s">
        <v>13</v>
      </c>
      <c r="B20" s="14"/>
      <c r="C20" s="14">
        <f>ROUND(((C7+C12)*0.07*6/12),2)+ROUND(((B7+B12)*0.07*6/12),2)</f>
        <v>87.87</v>
      </c>
      <c r="D20" s="14">
        <f t="shared" si="5"/>
        <v>87.87</v>
      </c>
      <c r="E20" s="14"/>
      <c r="F20" s="14">
        <f>ROUND(((F7+F12)*0.07*6/12),2)+ROUND(((E7+E12)*0.07*6/12),2)</f>
        <v>93.42</v>
      </c>
      <c r="G20" s="15">
        <f t="shared" si="6"/>
        <v>93.42</v>
      </c>
    </row>
    <row r="21" spans="1:7" x14ac:dyDescent="0.55000000000000004">
      <c r="A21" s="13" t="s">
        <v>14</v>
      </c>
      <c r="B21" s="14">
        <f t="shared" ref="B21:G21" si="7">SUM(B22:B24)</f>
        <v>0</v>
      </c>
      <c r="C21" s="14">
        <f t="shared" si="7"/>
        <v>1084.57</v>
      </c>
      <c r="D21" s="15">
        <f t="shared" si="7"/>
        <v>1084.57</v>
      </c>
      <c r="E21" s="14">
        <f t="shared" si="7"/>
        <v>0</v>
      </c>
      <c r="F21" s="14">
        <f t="shared" si="7"/>
        <v>1194.1099999999999</v>
      </c>
      <c r="G21" s="15">
        <f t="shared" si="7"/>
        <v>1194.1099999999999</v>
      </c>
    </row>
    <row r="22" spans="1:7" x14ac:dyDescent="0.55000000000000004">
      <c r="A22" s="16" t="s">
        <v>15</v>
      </c>
      <c r="B22" s="17"/>
      <c r="C22" s="17">
        <v>866.94</v>
      </c>
      <c r="D22" s="17">
        <f>SUM(B22:C22)</f>
        <v>866.94</v>
      </c>
      <c r="E22" s="17"/>
      <c r="F22" s="17">
        <v>963.2</v>
      </c>
      <c r="G22" s="17">
        <f>SUM(E22:F22)</f>
        <v>963.2</v>
      </c>
    </row>
    <row r="23" spans="1:7" x14ac:dyDescent="0.55000000000000004">
      <c r="A23" s="16" t="s">
        <v>16</v>
      </c>
      <c r="B23" s="17"/>
      <c r="C23" s="17">
        <v>170.32</v>
      </c>
      <c r="D23" s="17">
        <f>SUM(B23:C23)</f>
        <v>170.32</v>
      </c>
      <c r="E23" s="17"/>
      <c r="F23" s="17">
        <v>159.57</v>
      </c>
      <c r="G23" s="17">
        <f>SUM(E23:F23)</f>
        <v>159.57</v>
      </c>
    </row>
    <row r="24" spans="1:7" s="22" customFormat="1" x14ac:dyDescent="0.55000000000000004">
      <c r="A24" s="21" t="s">
        <v>17</v>
      </c>
      <c r="B24" s="17"/>
      <c r="C24" s="17">
        <v>47.31</v>
      </c>
      <c r="D24" s="17">
        <f>SUM(B24:C24)</f>
        <v>47.31</v>
      </c>
      <c r="E24" s="17"/>
      <c r="F24" s="17">
        <v>71.34</v>
      </c>
      <c r="G24" s="17">
        <f>SUM(E24:F24)</f>
        <v>71.34</v>
      </c>
    </row>
    <row r="25" spans="1:7" x14ac:dyDescent="0.55000000000000004">
      <c r="A25" s="13" t="s">
        <v>19</v>
      </c>
      <c r="B25" s="14">
        <f t="shared" ref="B25:G25" si="8">B6+B21</f>
        <v>1981.7999999999997</v>
      </c>
      <c r="C25" s="14">
        <f t="shared" si="8"/>
        <v>1701.29</v>
      </c>
      <c r="D25" s="15">
        <f t="shared" si="8"/>
        <v>3683.09</v>
      </c>
      <c r="E25" s="14">
        <f>E6+E21</f>
        <v>1897.3500000000001</v>
      </c>
      <c r="F25" s="14">
        <f t="shared" si="8"/>
        <v>2059.1799999999998</v>
      </c>
      <c r="G25" s="15">
        <f t="shared" si="8"/>
        <v>3956.5299999999997</v>
      </c>
    </row>
    <row r="26" spans="1:7" x14ac:dyDescent="0.55000000000000004">
      <c r="A26" s="13" t="s">
        <v>66</v>
      </c>
      <c r="B26" s="15">
        <f>ROUND(B25/B27*1000,2)</f>
        <v>6053.7</v>
      </c>
      <c r="C26" s="15">
        <f>ROUND(C25/B27*1000,2)</f>
        <v>5196.84</v>
      </c>
      <c r="D26" s="15">
        <f>ROUND(D25/B27*1000,2)</f>
        <v>11250.54</v>
      </c>
      <c r="E26" s="15">
        <f>ROUND(E25/E27*1000,2)</f>
        <v>5863.62</v>
      </c>
      <c r="F26" s="15">
        <f>ROUND(F25/E27*1000,2)</f>
        <v>6363.74</v>
      </c>
      <c r="G26" s="15">
        <f>ROUND(G25/E27*1000,2)</f>
        <v>12227.36</v>
      </c>
    </row>
    <row r="27" spans="1:7" x14ac:dyDescent="0.55000000000000004">
      <c r="A27" s="21" t="s">
        <v>21</v>
      </c>
      <c r="B27" s="88">
        <v>327.37</v>
      </c>
      <c r="C27" s="89"/>
      <c r="D27" s="90"/>
      <c r="E27" s="75">
        <v>323.58</v>
      </c>
      <c r="F27" s="76"/>
      <c r="G27" s="77"/>
    </row>
    <row r="28" spans="1:7" x14ac:dyDescent="0.55000000000000004">
      <c r="A28" s="21" t="s">
        <v>68</v>
      </c>
      <c r="B28" s="82">
        <f>9.21*1000</f>
        <v>9210</v>
      </c>
      <c r="C28" s="83"/>
      <c r="D28" s="84"/>
      <c r="E28" s="82">
        <f>9.21*1000</f>
        <v>9210</v>
      </c>
      <c r="F28" s="83"/>
      <c r="G28" s="84"/>
    </row>
    <row r="29" spans="1:7" x14ac:dyDescent="0.55000000000000004">
      <c r="A29" s="21" t="s">
        <v>23</v>
      </c>
      <c r="B29" s="75">
        <f>B27*B28/1000</f>
        <v>3015.0777000000003</v>
      </c>
      <c r="C29" s="76"/>
      <c r="D29" s="77"/>
      <c r="E29" s="75">
        <f>E27*E28/1000</f>
        <v>2980.1717999999996</v>
      </c>
      <c r="F29" s="76"/>
      <c r="G29" s="77"/>
    </row>
    <row r="30" spans="1:7" s="2" customFormat="1" x14ac:dyDescent="0.55000000000000004">
      <c r="A30" s="23" t="s">
        <v>24</v>
      </c>
      <c r="B30" s="15">
        <f>B29-B25</f>
        <v>1033.2777000000006</v>
      </c>
      <c r="C30" s="15"/>
      <c r="D30" s="15">
        <f>B29-D25</f>
        <v>-668.01229999999987</v>
      </c>
      <c r="E30" s="58">
        <f>E29-E25</f>
        <v>1082.8217999999995</v>
      </c>
      <c r="F30" s="58"/>
      <c r="G30" s="58">
        <f>E29-G25</f>
        <v>-976.35820000000012</v>
      </c>
    </row>
    <row r="31" spans="1:7" s="2" customFormat="1" x14ac:dyDescent="0.55000000000000004">
      <c r="A31" s="24" t="s">
        <v>67</v>
      </c>
      <c r="B31" s="59">
        <f>B28-B26</f>
        <v>3156.3</v>
      </c>
      <c r="C31" s="59"/>
      <c r="D31" s="59">
        <f>B28-D26</f>
        <v>-2040.5400000000009</v>
      </c>
      <c r="E31" s="59">
        <f>E28-E26</f>
        <v>3346.38</v>
      </c>
      <c r="F31" s="59"/>
      <c r="G31" s="59">
        <f>E28-G26</f>
        <v>-3017.3600000000006</v>
      </c>
    </row>
    <row r="32" spans="1:7" x14ac:dyDescent="0.55000000000000004">
      <c r="A32" s="25"/>
    </row>
    <row r="33" spans="1:1" x14ac:dyDescent="0.55000000000000004">
      <c r="A33" s="26"/>
    </row>
  </sheetData>
  <mergeCells count="9">
    <mergeCell ref="B29:D29"/>
    <mergeCell ref="E29:G29"/>
    <mergeCell ref="B3:G3"/>
    <mergeCell ref="B4:D4"/>
    <mergeCell ref="E4:G4"/>
    <mergeCell ref="B27:D27"/>
    <mergeCell ref="E27:G27"/>
    <mergeCell ref="B28:D28"/>
    <mergeCell ref="E28:G28"/>
  </mergeCells>
  <pageMargins left="0.22" right="0.17" top="0.75" bottom="0.75" header="0.3" footer="0.3"/>
  <pageSetup paperSize="9" scale="8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pane xSplit="1" ySplit="5" topLeftCell="B21" activePane="bottomRight" state="frozen"/>
      <selection pane="topRight" activeCell="B1" sqref="B1"/>
      <selection pane="bottomLeft" activeCell="A6" sqref="A6"/>
      <selection pane="bottomRight" activeCell="J12" sqref="J12"/>
    </sheetView>
  </sheetViews>
  <sheetFormatPr defaultRowHeight="15" x14ac:dyDescent="0.25"/>
  <cols>
    <col min="1" max="1" width="36.7109375" customWidth="1"/>
    <col min="2" max="7" width="12.140625" customWidth="1"/>
  </cols>
  <sheetData>
    <row r="1" spans="1:7" ht="27.75" x14ac:dyDescent="0.65">
      <c r="A1" s="31" t="s">
        <v>63</v>
      </c>
      <c r="B1" s="31"/>
      <c r="C1" s="31"/>
      <c r="D1" s="31"/>
      <c r="E1" s="31"/>
      <c r="F1" s="31"/>
      <c r="G1" s="31"/>
    </row>
    <row r="2" spans="1:7" ht="21.75" x14ac:dyDescent="0.5">
      <c r="A2" s="32"/>
      <c r="B2" s="32"/>
      <c r="C2" s="32"/>
      <c r="D2" s="32"/>
      <c r="E2" s="32"/>
      <c r="F2" s="32"/>
      <c r="G2" s="32" t="s">
        <v>29</v>
      </c>
    </row>
    <row r="3" spans="1:7" ht="27.75" x14ac:dyDescent="0.25">
      <c r="A3" s="64" t="s">
        <v>1</v>
      </c>
      <c r="B3" s="67" t="s">
        <v>61</v>
      </c>
      <c r="C3" s="68"/>
      <c r="D3" s="68"/>
      <c r="E3" s="69"/>
      <c r="F3" s="69"/>
      <c r="G3" s="70"/>
    </row>
    <row r="4" spans="1:7" ht="27.75" x14ac:dyDescent="0.25">
      <c r="A4" s="65"/>
      <c r="B4" s="71" t="s">
        <v>26</v>
      </c>
      <c r="C4" s="71"/>
      <c r="D4" s="71"/>
      <c r="E4" s="71" t="s">
        <v>27</v>
      </c>
      <c r="F4" s="71"/>
      <c r="G4" s="71"/>
    </row>
    <row r="5" spans="1:7" ht="24" x14ac:dyDescent="0.25">
      <c r="A5" s="66"/>
      <c r="B5" s="33" t="s">
        <v>2</v>
      </c>
      <c r="C5" s="33" t="s">
        <v>44</v>
      </c>
      <c r="D5" s="33" t="s">
        <v>4</v>
      </c>
      <c r="E5" s="33" t="s">
        <v>2</v>
      </c>
      <c r="F5" s="33" t="s">
        <v>44</v>
      </c>
      <c r="G5" s="33" t="s">
        <v>4</v>
      </c>
    </row>
    <row r="6" spans="1:7" ht="24" x14ac:dyDescent="0.55000000000000004">
      <c r="A6" s="34" t="s">
        <v>31</v>
      </c>
      <c r="B6" s="35">
        <f t="shared" ref="B6:G6" si="0">+B7+B12+B20</f>
        <v>3100.0299999999997</v>
      </c>
      <c r="C6" s="35">
        <f t="shared" si="0"/>
        <v>1405.23</v>
      </c>
      <c r="D6" s="35">
        <f t="shared" si="0"/>
        <v>4505.26</v>
      </c>
      <c r="E6" s="35">
        <f t="shared" si="0"/>
        <v>2891.39</v>
      </c>
      <c r="F6" s="35">
        <f t="shared" si="0"/>
        <v>1302.0999999999999</v>
      </c>
      <c r="G6" s="35">
        <f t="shared" si="0"/>
        <v>4193.49</v>
      </c>
    </row>
    <row r="7" spans="1:7" ht="24" x14ac:dyDescent="0.55000000000000004">
      <c r="A7" s="36" t="s">
        <v>45</v>
      </c>
      <c r="B7" s="37">
        <f>+B8+B9+B10+B11</f>
        <v>1857.61</v>
      </c>
      <c r="C7" s="37">
        <f>+C8+C9+C10+C11</f>
        <v>283.85999999999996</v>
      </c>
      <c r="D7" s="37">
        <f>+D8+D9+D10+D11</f>
        <v>2141.4700000000003</v>
      </c>
      <c r="E7" s="37">
        <f t="shared" ref="E7:G7" si="1">+E8+E9+E10+E11</f>
        <v>1710.5700000000002</v>
      </c>
      <c r="F7" s="37">
        <f t="shared" si="1"/>
        <v>286.29000000000002</v>
      </c>
      <c r="G7" s="37">
        <f t="shared" si="1"/>
        <v>1996.86</v>
      </c>
    </row>
    <row r="8" spans="1:7" ht="24" x14ac:dyDescent="0.55000000000000004">
      <c r="A8" s="38" t="s">
        <v>46</v>
      </c>
      <c r="B8" s="39">
        <v>356.69</v>
      </c>
      <c r="C8" s="39">
        <v>241.75</v>
      </c>
      <c r="D8" s="39">
        <f>+B8+C8</f>
        <v>598.44000000000005</v>
      </c>
      <c r="E8" s="39">
        <v>469.04</v>
      </c>
      <c r="F8" s="39">
        <v>225.1</v>
      </c>
      <c r="G8" s="39">
        <f>+E8+F8</f>
        <v>694.14</v>
      </c>
    </row>
    <row r="9" spans="1:7" ht="24" x14ac:dyDescent="0.55000000000000004">
      <c r="A9" s="38" t="s">
        <v>47</v>
      </c>
      <c r="B9" s="39">
        <v>220.84</v>
      </c>
      <c r="C9" s="39">
        <v>2.89</v>
      </c>
      <c r="D9" s="39">
        <f t="shared" ref="D9:D11" si="2">+B9+C9</f>
        <v>223.73</v>
      </c>
      <c r="E9" s="40">
        <v>200.3</v>
      </c>
      <c r="F9" s="40">
        <v>12.68</v>
      </c>
      <c r="G9" s="39">
        <f t="shared" ref="G9:G11" si="3">+E9+F9</f>
        <v>212.98000000000002</v>
      </c>
    </row>
    <row r="10" spans="1:7" ht="24" x14ac:dyDescent="0.55000000000000004">
      <c r="A10" s="38" t="s">
        <v>48</v>
      </c>
      <c r="B10" s="39">
        <v>252.24</v>
      </c>
      <c r="C10" s="39">
        <v>37.83</v>
      </c>
      <c r="D10" s="39">
        <f t="shared" si="2"/>
        <v>290.07</v>
      </c>
      <c r="E10" s="40">
        <v>230.08</v>
      </c>
      <c r="F10" s="40">
        <v>47.35</v>
      </c>
      <c r="G10" s="39">
        <f t="shared" si="3"/>
        <v>277.43</v>
      </c>
    </row>
    <row r="11" spans="1:7" ht="24" x14ac:dyDescent="0.55000000000000004">
      <c r="A11" s="38" t="s">
        <v>49</v>
      </c>
      <c r="B11" s="39">
        <v>1027.8399999999999</v>
      </c>
      <c r="C11" s="39">
        <v>1.39</v>
      </c>
      <c r="D11" s="39">
        <f t="shared" si="2"/>
        <v>1029.23</v>
      </c>
      <c r="E11" s="40">
        <v>811.15</v>
      </c>
      <c r="F11" s="40">
        <v>1.1599999999999999</v>
      </c>
      <c r="G11" s="39">
        <f t="shared" si="3"/>
        <v>812.31</v>
      </c>
    </row>
    <row r="12" spans="1:7" ht="24" x14ac:dyDescent="0.55000000000000004">
      <c r="A12" s="36" t="s">
        <v>50</v>
      </c>
      <c r="B12" s="37">
        <f>+B13+B14+B15+B16+B17+B18+B19</f>
        <v>1242.42</v>
      </c>
      <c r="C12" s="37">
        <f>+C13+C14+C15+C16+C17+C18+C19</f>
        <v>826.63</v>
      </c>
      <c r="D12" s="37">
        <f>+B12+C12</f>
        <v>2069.0500000000002</v>
      </c>
      <c r="E12" s="37">
        <f>+E13+E14+E15+E16+E17+E18+E19</f>
        <v>1180.8199999999997</v>
      </c>
      <c r="F12" s="37">
        <f>+F13+F14+F15+F16+F17+F18+F19</f>
        <v>741.47</v>
      </c>
      <c r="G12" s="37">
        <f>+E12+F12</f>
        <v>1922.2899999999997</v>
      </c>
    </row>
    <row r="13" spans="1:7" ht="24" x14ac:dyDescent="0.55000000000000004">
      <c r="A13" s="38" t="s">
        <v>51</v>
      </c>
      <c r="B13" s="39">
        <v>260.61</v>
      </c>
      <c r="C13" s="39">
        <v>826.46</v>
      </c>
      <c r="D13" s="40">
        <f t="shared" ref="D13:D19" si="4">+B13+C13</f>
        <v>1087.0700000000002</v>
      </c>
      <c r="E13" s="40">
        <v>303.19</v>
      </c>
      <c r="F13" s="40">
        <v>740.48</v>
      </c>
      <c r="G13" s="40">
        <f>+E13+F13</f>
        <v>1043.67</v>
      </c>
    </row>
    <row r="14" spans="1:7" ht="24" x14ac:dyDescent="0.55000000000000004">
      <c r="A14" s="38" t="s">
        <v>52</v>
      </c>
      <c r="B14" s="39">
        <v>853.29</v>
      </c>
      <c r="C14" s="39"/>
      <c r="D14" s="40">
        <f t="shared" si="4"/>
        <v>853.29</v>
      </c>
      <c r="E14" s="40">
        <v>738.61</v>
      </c>
      <c r="F14" s="40"/>
      <c r="G14" s="40">
        <f t="shared" ref="G14:G19" si="5">+E14+F14</f>
        <v>738.61</v>
      </c>
    </row>
    <row r="15" spans="1:7" ht="24" x14ac:dyDescent="0.55000000000000004">
      <c r="A15" s="38" t="s">
        <v>53</v>
      </c>
      <c r="B15" s="39">
        <v>98.72</v>
      </c>
      <c r="C15" s="41"/>
      <c r="D15" s="40">
        <f t="shared" si="4"/>
        <v>98.72</v>
      </c>
      <c r="E15" s="40">
        <v>98.88</v>
      </c>
      <c r="F15" s="40"/>
      <c r="G15" s="40">
        <f t="shared" si="5"/>
        <v>98.88</v>
      </c>
    </row>
    <row r="16" spans="1:7" ht="24" x14ac:dyDescent="0.55000000000000004">
      <c r="A16" s="38" t="s">
        <v>54</v>
      </c>
      <c r="B16" s="39">
        <v>11.31</v>
      </c>
      <c r="C16" s="41"/>
      <c r="D16" s="40">
        <f t="shared" si="4"/>
        <v>11.31</v>
      </c>
      <c r="E16" s="40">
        <v>3.42</v>
      </c>
      <c r="F16" s="40"/>
      <c r="G16" s="40">
        <f t="shared" si="5"/>
        <v>3.42</v>
      </c>
    </row>
    <row r="17" spans="1:7" ht="24" x14ac:dyDescent="0.55000000000000004">
      <c r="A17" s="38" t="s">
        <v>55</v>
      </c>
      <c r="B17" s="42">
        <v>3.2</v>
      </c>
      <c r="C17" s="42"/>
      <c r="D17" s="43">
        <f t="shared" si="4"/>
        <v>3.2</v>
      </c>
      <c r="E17" s="43">
        <v>2.2999999999999998</v>
      </c>
      <c r="F17" s="43"/>
      <c r="G17" s="40">
        <f t="shared" si="5"/>
        <v>2.2999999999999998</v>
      </c>
    </row>
    <row r="18" spans="1:7" ht="24" x14ac:dyDescent="0.55000000000000004">
      <c r="A18" s="44" t="s">
        <v>56</v>
      </c>
      <c r="B18" s="42">
        <v>14.23</v>
      </c>
      <c r="C18" s="42"/>
      <c r="D18" s="43">
        <f t="shared" si="4"/>
        <v>14.23</v>
      </c>
      <c r="E18" s="43">
        <v>33.33</v>
      </c>
      <c r="F18" s="43"/>
      <c r="G18" s="40">
        <f t="shared" si="5"/>
        <v>33.33</v>
      </c>
    </row>
    <row r="19" spans="1:7" ht="24" x14ac:dyDescent="0.55000000000000004">
      <c r="A19" s="38" t="s">
        <v>57</v>
      </c>
      <c r="B19" s="42">
        <v>1.06</v>
      </c>
      <c r="C19" s="42">
        <v>0.17</v>
      </c>
      <c r="D19" s="43">
        <f t="shared" si="4"/>
        <v>1.23</v>
      </c>
      <c r="E19" s="43">
        <v>1.0900000000000001</v>
      </c>
      <c r="F19" s="43">
        <v>0.99</v>
      </c>
      <c r="G19" s="40">
        <f t="shared" si="5"/>
        <v>2.08</v>
      </c>
    </row>
    <row r="20" spans="1:7" ht="24" x14ac:dyDescent="0.25">
      <c r="A20" s="36" t="s">
        <v>32</v>
      </c>
      <c r="B20" s="45"/>
      <c r="C20" s="45">
        <f>ROUND((B7+C7+B12+C12)*0.07,2)</f>
        <v>294.74</v>
      </c>
      <c r="D20" s="46">
        <f>ROUND((D7+D12)*0.07,2)</f>
        <v>294.74</v>
      </c>
      <c r="E20" s="46"/>
      <c r="F20" s="46">
        <f>ROUND((E7+F7+E12+F12)*0.07,2)</f>
        <v>274.33999999999997</v>
      </c>
      <c r="G20" s="46">
        <f>ROUND((G7+G12)*0.07,2)</f>
        <v>274.33999999999997</v>
      </c>
    </row>
    <row r="21" spans="1:7" ht="24" x14ac:dyDescent="0.25">
      <c r="A21" s="36" t="s">
        <v>33</v>
      </c>
      <c r="B21" s="45">
        <f t="shared" ref="B21:G21" si="6">+B22+B23+B24</f>
        <v>0</v>
      </c>
      <c r="C21" s="45">
        <f t="shared" si="6"/>
        <v>1273.8100000000002</v>
      </c>
      <c r="D21" s="45">
        <f t="shared" si="6"/>
        <v>1273.8100000000002</v>
      </c>
      <c r="E21" s="45">
        <f t="shared" si="6"/>
        <v>0</v>
      </c>
      <c r="F21" s="45">
        <f t="shared" si="6"/>
        <v>1129.0700000000002</v>
      </c>
      <c r="G21" s="45">
        <f t="shared" si="6"/>
        <v>1129.0700000000002</v>
      </c>
    </row>
    <row r="22" spans="1:7" ht="24" x14ac:dyDescent="0.25">
      <c r="A22" s="38" t="s">
        <v>37</v>
      </c>
      <c r="B22" s="42"/>
      <c r="C22" s="42">
        <v>1238.52</v>
      </c>
      <c r="D22" s="43">
        <f t="shared" ref="D22:D23" si="7">+B22+C22</f>
        <v>1238.52</v>
      </c>
      <c r="E22" s="43"/>
      <c r="F22" s="43">
        <v>1049.27</v>
      </c>
      <c r="G22" s="43">
        <f>+E22+F22</f>
        <v>1049.27</v>
      </c>
    </row>
    <row r="23" spans="1:7" ht="24" x14ac:dyDescent="0.25">
      <c r="A23" s="38" t="s">
        <v>34</v>
      </c>
      <c r="B23" s="42"/>
      <c r="C23" s="42">
        <v>21.66</v>
      </c>
      <c r="D23" s="43">
        <f t="shared" si="7"/>
        <v>21.66</v>
      </c>
      <c r="E23" s="43"/>
      <c r="F23" s="43">
        <v>48.17</v>
      </c>
      <c r="G23" s="43">
        <f t="shared" ref="G23:G24" si="8">+E23+F23</f>
        <v>48.17</v>
      </c>
    </row>
    <row r="24" spans="1:7" ht="24" x14ac:dyDescent="0.25">
      <c r="A24" s="47" t="s">
        <v>35</v>
      </c>
      <c r="B24" s="42"/>
      <c r="C24" s="42">
        <v>13.63</v>
      </c>
      <c r="D24" s="43">
        <f>+B24+C24</f>
        <v>13.63</v>
      </c>
      <c r="E24" s="43"/>
      <c r="F24" s="43">
        <v>31.63</v>
      </c>
      <c r="G24" s="43">
        <f t="shared" si="8"/>
        <v>31.63</v>
      </c>
    </row>
    <row r="25" spans="1:7" ht="24" x14ac:dyDescent="0.25">
      <c r="A25" s="36" t="s">
        <v>58</v>
      </c>
      <c r="B25" s="45">
        <f t="shared" ref="B25:G25" si="9">+B6+B21</f>
        <v>3100.0299999999997</v>
      </c>
      <c r="C25" s="45">
        <f t="shared" si="9"/>
        <v>2679.04</v>
      </c>
      <c r="D25" s="45">
        <f t="shared" si="9"/>
        <v>5779.0700000000006</v>
      </c>
      <c r="E25" s="45">
        <f t="shared" si="9"/>
        <v>2891.39</v>
      </c>
      <c r="F25" s="45">
        <f t="shared" si="9"/>
        <v>2431.17</v>
      </c>
      <c r="G25" s="45">
        <f t="shared" si="9"/>
        <v>5322.5599999999995</v>
      </c>
    </row>
    <row r="26" spans="1:7" ht="24" x14ac:dyDescent="0.25">
      <c r="A26" s="48" t="s">
        <v>20</v>
      </c>
      <c r="B26" s="50">
        <f>+ROUND(B25/B27,2)</f>
        <v>0.93</v>
      </c>
      <c r="C26" s="50">
        <f>+ROUND(C25/B27,2)</f>
        <v>0.81</v>
      </c>
      <c r="D26" s="50">
        <f>+ROUND(D25/B27,2)</f>
        <v>1.74</v>
      </c>
      <c r="E26" s="50">
        <f>+ROUND(E25/E27,2)</f>
        <v>0.92</v>
      </c>
      <c r="F26" s="50">
        <f>+ROUND(F25/E27,2)</f>
        <v>0.77</v>
      </c>
      <c r="G26" s="50">
        <f>+ROUND(G25/E27,2)</f>
        <v>1.69</v>
      </c>
    </row>
    <row r="27" spans="1:7" s="57" customFormat="1" ht="24" x14ac:dyDescent="0.25">
      <c r="A27" s="51" t="s">
        <v>59</v>
      </c>
      <c r="B27" s="72">
        <v>3317.29</v>
      </c>
      <c r="C27" s="73"/>
      <c r="D27" s="74"/>
      <c r="E27" s="72">
        <v>3154.34</v>
      </c>
      <c r="F27" s="73"/>
      <c r="G27" s="74"/>
    </row>
    <row r="28" spans="1:7" s="60" customFormat="1" ht="24" x14ac:dyDescent="0.25">
      <c r="A28" s="51" t="s">
        <v>60</v>
      </c>
      <c r="B28" s="72">
        <v>1.59</v>
      </c>
      <c r="C28" s="73"/>
      <c r="D28" s="74"/>
      <c r="E28" s="72">
        <v>1.59</v>
      </c>
      <c r="F28" s="73"/>
      <c r="G28" s="74"/>
    </row>
    <row r="29" spans="1:7" s="57" customFormat="1" ht="24" x14ac:dyDescent="0.25">
      <c r="A29" s="51" t="s">
        <v>30</v>
      </c>
      <c r="B29" s="61">
        <f>+ROUND(B27*B28,2)</f>
        <v>5274.49</v>
      </c>
      <c r="C29" s="62"/>
      <c r="D29" s="63"/>
      <c r="E29" s="61">
        <f>+ROUND(E27*E28,2)</f>
        <v>5015.3999999999996</v>
      </c>
      <c r="F29" s="62"/>
      <c r="G29" s="63"/>
    </row>
    <row r="30" spans="1:7" ht="24" x14ac:dyDescent="0.25">
      <c r="A30" s="48" t="s">
        <v>24</v>
      </c>
      <c r="B30" s="52">
        <f>B29-B25</f>
        <v>2174.46</v>
      </c>
      <c r="C30" s="49"/>
      <c r="D30" s="50">
        <f>+B29-D25</f>
        <v>-504.58000000000084</v>
      </c>
      <c r="E30" s="52">
        <f>E29-E25</f>
        <v>2124.0099999999998</v>
      </c>
      <c r="F30" s="49"/>
      <c r="G30" s="50">
        <f>+E29-G25</f>
        <v>-307.15999999999985</v>
      </c>
    </row>
    <row r="31" spans="1:7" ht="24" x14ac:dyDescent="0.25">
      <c r="A31" s="53" t="s">
        <v>36</v>
      </c>
      <c r="B31" s="54">
        <f>+ROUND(B30/B27,2)</f>
        <v>0.66</v>
      </c>
      <c r="C31" s="55"/>
      <c r="D31" s="56">
        <f>+ROUND(D30/B27,2)</f>
        <v>-0.15</v>
      </c>
      <c r="E31" s="54">
        <f>+ROUND(E30/E27,2)</f>
        <v>0.67</v>
      </c>
      <c r="F31" s="55"/>
      <c r="G31" s="56">
        <f>+ROUND(G30/E27,2)</f>
        <v>-0.1</v>
      </c>
    </row>
  </sheetData>
  <mergeCells count="10">
    <mergeCell ref="A3:A5"/>
    <mergeCell ref="B3:G3"/>
    <mergeCell ref="B4:D4"/>
    <mergeCell ref="E4:G4"/>
    <mergeCell ref="B27:D27"/>
    <mergeCell ref="B28:D28"/>
    <mergeCell ref="B29:D29"/>
    <mergeCell ref="E27:G27"/>
    <mergeCell ref="E28:G28"/>
    <mergeCell ref="E29:G29"/>
  </mergeCells>
  <pageMargins left="0.18" right="0.17" top="0.75" bottom="0.75" header="0.3" footer="0.3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อ้อยโรงงาน</vt:lpstr>
      <vt:lpstr>มะม่วง</vt:lpstr>
      <vt:lpstr>ข้าวหอมมะลิ</vt:lpstr>
      <vt:lpstr>มันสำปะหลัง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พรทิพย์ สุขมะ</dc:creator>
  <cp:lastModifiedBy>ิปิยมาภรณ์ ศรีสุข</cp:lastModifiedBy>
  <cp:lastPrinted>2017-09-27T07:38:26Z</cp:lastPrinted>
  <dcterms:created xsi:type="dcterms:W3CDTF">2017-07-23T14:43:31Z</dcterms:created>
  <dcterms:modified xsi:type="dcterms:W3CDTF">2017-11-09T06:53:49Z</dcterms:modified>
</cp:coreProperties>
</file>