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ize" sheetId="1" r:id="rId4"/>
    <sheet state="visible" name="Samples" sheetId="2" r:id="rId5"/>
    <sheet state="visible" name="Well layout1" sheetId="3" r:id="rId6"/>
    <sheet state="visible" name="Well layout2" sheetId="4" r:id="rId7"/>
    <sheet state="visible" name="Well layout3" sheetId="5" r:id="rId8"/>
    <sheet state="visible" name="Well layout4" sheetId="6" r:id="rId9"/>
    <sheet state="visible" name="dilution_factor" sheetId="7" r:id="rId10"/>
    <sheet state="visible" name="Chemical Usage Calculation" sheetId="8" r:id="rId11"/>
    <sheet state="hidden" name="dropdown" sheetId="9" r:id="rId12"/>
  </sheets>
  <definedNames/>
  <calcPr/>
</workbook>
</file>

<file path=xl/sharedStrings.xml><?xml version="1.0" encoding="utf-8"?>
<sst xmlns="http://schemas.openxmlformats.org/spreadsheetml/2006/main" count="1627" uniqueCount="422">
  <si>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</si>
  <si>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</si>
  <si>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</si>
  <si>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</si>
  <si>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</si>
  <si>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</si>
  <si>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</si>
  <si>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</si>
  <si>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</si>
  <si>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</si>
  <si>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</si>
  <si>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</si>
  <si>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</si>
  <si>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</si>
  <si>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</si>
  <si>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</si>
  <si>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</si>
  <si>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</si>
  <si>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</si>
  <si>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</si>
  <si>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</si>
  <si>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</si>
  <si>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</si>
  <si>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</si>
  <si>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net_biopsy_weight_mg</t>
  </si>
  <si>
    <t>QC_manual_biopsy_weight1_mg</t>
  </si>
  <si>
    <t>QC_manual_biopsy_weight2_mg</t>
  </si>
  <si>
    <t>net_biopsy_weight_manualQC_mg</t>
  </si>
  <si>
    <t>HP185-20240613</t>
  </si>
  <si>
    <t>BDF 50uM AA2P scaffolds 1-4, D3 Ind #1</t>
  </si>
  <si>
    <t>sample</t>
  </si>
  <si>
    <t>liquid</t>
  </si>
  <si>
    <t>EXP135</t>
  </si>
  <si>
    <t>DS</t>
  </si>
  <si>
    <t>BDF 200uM AA2P scaffolds 1-4, D3 Ind #1</t>
  </si>
  <si>
    <t>BDF 50uM AA2P scaffolds 1-4, D5 Ind #1</t>
  </si>
  <si>
    <t>BDF 200uM AA2P scaffolds 1-4, D5 Ind #1</t>
  </si>
  <si>
    <t>BDF 50uM AA2P scaffolds 1-4, D7 Ind #1</t>
  </si>
  <si>
    <t>BDF 200uM AA2P scaffolds 1-4, D7 Ind #1</t>
  </si>
  <si>
    <t>BDF 50uM AA2P scaffolds 1-4, D3 Ind #2</t>
  </si>
  <si>
    <t>BDF 200uM AA2P scaffolds 1-4, D3 Ind #2</t>
  </si>
  <si>
    <t>BDF 50uM AA2P scaffolds 1-4, D5 Ind #2</t>
  </si>
  <si>
    <t>BDF 200uM AA2P scaffolds 1-4, D5 Ind #2</t>
  </si>
  <si>
    <t>BDF 50uM AA2P scaffolds 1-4, D7 Ind #2</t>
  </si>
  <si>
    <t>BDF 200uM AA2P scaffolds 1-4, D7 Ind #2</t>
  </si>
  <si>
    <t>BDF 50uM AA2P scaffolds 1-4, D3 Ind #3</t>
  </si>
  <si>
    <t>BDF 200uM AA2P scaffolds 1-4, D3 Ind #3</t>
  </si>
  <si>
    <t>BDF 50uM AA2P scaffolds 1-4, D5 Ind #3</t>
  </si>
  <si>
    <t>BDF 200uM AA2P scaffolds 1-4, D5 Ind #3</t>
  </si>
  <si>
    <t>BDF 50uM AA2P scaffolds 1-4, D7 Ind #3</t>
  </si>
  <si>
    <t>BDF 200uM AA2P scaffolds 1-4, D7 Ind #3</t>
  </si>
  <si>
    <t>BDF 50uM AA2P scaffolds 1-4, D3 Ind #4</t>
  </si>
  <si>
    <t>BDF 200uM AA2P scaffolds 1-4, D3 Ind #4</t>
  </si>
  <si>
    <t>BDF 50uM AA2P scaffolds 1-4, D5 Ind #4</t>
  </si>
  <si>
    <t>BDF 200uM AA2P scaffolds 1-4, D5 Ind #4</t>
  </si>
  <si>
    <t>BDF 50uM AA2P scaffolds 1-4, D7 Ind #4</t>
  </si>
  <si>
    <t>BDF 200uM AA2P scaffolds 1-4, D7 Ind #4</t>
  </si>
  <si>
    <t>BDF 100uM AA2P scaffolds 1-4, D3 Ind #1</t>
  </si>
  <si>
    <t>BDF 250uM AA2P scaffolds 1-4, D3 Ind #1</t>
  </si>
  <si>
    <t>BDF 100uM AA2P scaffolds 1-4, D5 Ind #1</t>
  </si>
  <si>
    <t>BDF 250uM AA2P scaffolds 1-4, D5 Ind #1</t>
  </si>
  <si>
    <t>BDF 100uM AA2P scaffolds 1-4, D7 Ind #1</t>
  </si>
  <si>
    <t>BDF 250uM AA2P scaffolds 1-4, D7 Ind #1</t>
  </si>
  <si>
    <t>BDF 100uM AA2P scaffolds 1-4, D3 Ind #2</t>
  </si>
  <si>
    <t>BDF 250uM AA2P scaffolds 1-4, D3 Ind #2</t>
  </si>
  <si>
    <t>BDF 100uM AA2P scaffolds 1-4, D5 Ind #2</t>
  </si>
  <si>
    <t>BDF 250uM AA2P scaffolds 1-4, D5 Ind #2</t>
  </si>
  <si>
    <t>BDF 100uM AA2P scaffolds 1-4, D7 Ind #2</t>
  </si>
  <si>
    <t>BDF 250uM AA2P scaffolds 1-4, D7 Ind #2</t>
  </si>
  <si>
    <t>BDF 100uM AA2P scaffolds 1-4, D3 Ind #3</t>
  </si>
  <si>
    <t>BDF 250uM AA2P scaffolds 1-4, D3 Ind #3</t>
  </si>
  <si>
    <t>BDF 100uM AA2P scaffolds 1-4, D5 Ind #3</t>
  </si>
  <si>
    <t>BDF 250uM AA2P scaffolds 1-4, D5 Ind #3</t>
  </si>
  <si>
    <t>BDF 100uM AA2P scaffolds 1-4, D7 Ind #3</t>
  </si>
  <si>
    <t>BDF 250uM AA2P scaffolds 1-4, D7 Ind #3</t>
  </si>
  <si>
    <t>BDF 100uM AA2P scaffolds 1-4, D3 Ind #4</t>
  </si>
  <si>
    <t>BDF 250uM AA2P scaffolds 1-4, D3 Ind #4</t>
  </si>
  <si>
    <t>BDF 100uM AA2P scaffolds 1-4, D5 Ind #4</t>
  </si>
  <si>
    <t>BDF 250uM AA2P scaffolds 1-4, D5 Ind #4</t>
  </si>
  <si>
    <t>BDF 100uM AA2P scaffolds 1-4, D7 Ind #4</t>
  </si>
  <si>
    <t>BDF 250uM AA2P scaffolds 1-4, D7 Ind #4</t>
  </si>
  <si>
    <t>BDF 150uM AA2P scaffolds 1-4, D3 Ind #1</t>
  </si>
  <si>
    <t>BDF 300uM AA2P scaffolds 1-4, D3 Ind #1</t>
  </si>
  <si>
    <t>BDF 150uM AA2P scaffolds 1-4, D5 Ind #1</t>
  </si>
  <si>
    <t>BDF 300uM AA2P scaffolds 1-4, D5 Ind #1</t>
  </si>
  <si>
    <t>BDF 150uM AA2P scaffolds 1-4, D7 Ind #1</t>
  </si>
  <si>
    <t>BDF 300uM AA2P scaffolds 1-4, D7 Ind #1</t>
  </si>
  <si>
    <t>BDF 50uM AA2P scaffolds 1-4, D10 Ind #1</t>
  </si>
  <si>
    <t>BDF 200uM AA2P scaffolds 1-4, D10 Ind #1</t>
  </si>
  <si>
    <t>BDF 50uM AA2P scaffolds 1-4, D3 Ind #1 #G0.625</t>
  </si>
  <si>
    <t>BDF 200uM AA2P scaffolds 1-4, D3 Ind #1 #G0.3125</t>
  </si>
  <si>
    <t>BDF 50uM AA2P scaffolds 1-4, D5 Ind #1 #G0.15625</t>
  </si>
  <si>
    <t>BDF 50uM AA2P scaffolds 1-4, D10 Ind #2</t>
  </si>
  <si>
    <t>BDF 200uM AA2P scaffolds 1-4, D10 Ind #2</t>
  </si>
  <si>
    <t>BDF 50uM AA2P scaffolds 1-4, D3 Ind #2 #G0.625</t>
  </si>
  <si>
    <t>BDF 200uM AA2P scaffolds 1-4, D3 Ind #2 #G0.3125</t>
  </si>
  <si>
    <t>BDF 50uM AA2P scaffolds 1-4, D5 Ind #2 #G0.15625</t>
  </si>
  <si>
    <t>BDF 50uM AA2P scaffolds 1-4, D10 Ind #3</t>
  </si>
  <si>
    <t>BDF 200uM AA2P scaffolds 1-4, D10 Ind #3</t>
  </si>
  <si>
    <t>BDF 50uM AA2P scaffolds 1-4, D3 Ind #3 #G0.625</t>
  </si>
  <si>
    <t>BDF 200uM AA2P scaffolds 1-4, D3 Ind #3 #G0.3125</t>
  </si>
  <si>
    <t>BDF 50uM AA2P scaffolds 1-4, D5 Ind #3 #G0.15625</t>
  </si>
  <si>
    <t>BDF 50uM AA2P scaffolds 1-4, D10 Ind #4</t>
  </si>
  <si>
    <t>BDF 200uM AA2P scaffolds 1-4, D10 Ind #4</t>
  </si>
  <si>
    <t>BDF 50uM AA2P scaffolds 1-4, D3 Ind #4 #G0.625</t>
  </si>
  <si>
    <t>BDF 200uM AA2P scaffolds 1-4, D3 Ind #4 #G0.3125</t>
  </si>
  <si>
    <t>BDF 50uM AA2P scaffolds 1-4, D5 Ind #4 #G0.15625</t>
  </si>
  <si>
    <t>BDF 100uM AA2P scaffolds 1-4, D10 Ind #1</t>
  </si>
  <si>
    <t>BDF 250uM AA2P scaffolds 1-4, D10 Ind #1</t>
  </si>
  <si>
    <t>BDF 100uM AA2P scaffolds 1-4, D3 Ind #1 #G0.625</t>
  </si>
  <si>
    <t>BDF 250uM AA2P scaffolds 1-4, D3 Ind #1 #G0.3125</t>
  </si>
  <si>
    <t>BDF 100uM AA2P scaffolds 1-4, D5 Ind #1 #G0.15625</t>
  </si>
  <si>
    <t>BDF 100uM AA2P scaffolds 1-4, D10 Ind #2</t>
  </si>
  <si>
    <t>BDF 250uM AA2P scaffolds 1-4, D10 Ind #2</t>
  </si>
  <si>
    <t>BDF 100uM AA2P scaffolds 1-4, D3 Ind #2 #G0.625</t>
  </si>
  <si>
    <t>BDF 250uM AA2P scaffolds 1-4, D3 Ind #2 #G0.3125</t>
  </si>
  <si>
    <t>BDF 100uM AA2P scaffolds 1-4, D5 Ind #2 #G0.15625</t>
  </si>
  <si>
    <t>BDF 100uM AA2P scaffolds 1-4, D10 Ind #3</t>
  </si>
  <si>
    <t>BDF 250uM AA2P scaffolds 1-4, D10 Ind #3</t>
  </si>
  <si>
    <t>BDF 100uM AA2P scaffolds 1-4, D3 Ind #3 #G0.625</t>
  </si>
  <si>
    <t>BDF 250uM AA2P scaffolds 1-4, D3 Ind #3 #G0.3125</t>
  </si>
  <si>
    <t>BDF 100uM AA2P scaffolds 1-4, D5 Ind #3 #G0.15625</t>
  </si>
  <si>
    <t>BDF 100uM AA2P scaffolds 1-4, D10 Ind #4</t>
  </si>
  <si>
    <t>BDF 250uM AA2P scaffolds 1-4, D10 Ind #4</t>
  </si>
  <si>
    <t>BDF 100uM AA2P scaffolds 1-4, D3 Ind #4 #G0.625</t>
  </si>
  <si>
    <t>BDF 250uM AA2P scaffolds 1-4, D3 Ind #4 #G0.3125</t>
  </si>
  <si>
    <t>BDF 100uM AA2P scaffolds 1-4, D5 Ind #4 #G0.15625</t>
  </si>
  <si>
    <t>BDF 150uM AA2P scaffolds 1-4, D10 Ind #1</t>
  </si>
  <si>
    <t>BDF 300uM AA2P scaffolds 1-4, D10 Ind #1</t>
  </si>
  <si>
    <t>F4 50uM AA2P scaffolds 1-4, D3 Ind #1</t>
  </si>
  <si>
    <t>F4 250uM AA2P scaffolds 1-4, D3 Ind #1</t>
  </si>
  <si>
    <t>F4 200uM AA2P scaffolds 1-4, D6 Ind #1</t>
  </si>
  <si>
    <t>F4 150uM AA2P scaffolds 1-4, D8 Ind #1</t>
  </si>
  <si>
    <t>F4 100uM AA2P scaffolds 1-4, D10 Ind #1</t>
  </si>
  <si>
    <t>F4 50uM AA2P scaffolds 1-4, D13 Ind #1</t>
  </si>
  <si>
    <t>F4 50uM AA2P scaffolds 1-4, D3 Ind #2</t>
  </si>
  <si>
    <t>F4 250uM AA2P scaffolds 1-4, D3 Ind #2</t>
  </si>
  <si>
    <t>F4 200uM AA2P scaffolds 1-4, D6 Ind #2</t>
  </si>
  <si>
    <t>F4 150uM AA2P scaffolds 1-4, D8 Ind #2</t>
  </si>
  <si>
    <t>F4 100uM AA2P scaffolds 1-4, D10 Ind #2</t>
  </si>
  <si>
    <t>F4 50uM AA2P scaffolds 1-4, D13 Ind #2</t>
  </si>
  <si>
    <t>F4 50uM AA2P scaffolds 1-4, D3 Ind #3</t>
  </si>
  <si>
    <t>F4 250uM AA2P scaffolds 1-4, D3 Ind #3</t>
  </si>
  <si>
    <t>F4 200uM AA2P scaffolds 1-4, D6 Ind #3</t>
  </si>
  <si>
    <t>F4 150uM AA2P scaffolds 1-4, D8 Ind #3</t>
  </si>
  <si>
    <t>F4 100uM AA2P scaffolds 1-4, D10 Ind #3</t>
  </si>
  <si>
    <t>F4 50uM AA2P scaffolds 1-4, D13 Ind #3</t>
  </si>
  <si>
    <t>F4 100uM AA2P scaffolds 1-4, D3 Ind #1</t>
  </si>
  <si>
    <t>F4 50uM AA2P scaffolds 1-4, D6 Ind #1</t>
  </si>
  <si>
    <t>F4 250uM AA2P scaffolds 1-4, D6 Ind #1</t>
  </si>
  <si>
    <t>F4 200uM AA2P scaffolds 1-4, D8 Ind #1</t>
  </si>
  <si>
    <t>F4 150uM AA2P scaffolds 1-4, D10 Ind #1</t>
  </si>
  <si>
    <t>F4 100uM AA2P scaffolds 1-4, D13 Ind #1</t>
  </si>
  <si>
    <t>F4 100uM AA2P scaffolds 1-4, D3 Ind #2</t>
  </si>
  <si>
    <t>F4 50uM AA2P scaffolds 1-4, D6 Ind #2</t>
  </si>
  <si>
    <t>F4 250uM AA2P scaffolds 1-4, D6 Ind #2</t>
  </si>
  <si>
    <t>F4 200uM AA2P scaffolds 1-4, D8 Ind #2</t>
  </si>
  <si>
    <t>F4 150uM AA2P scaffolds 1-4, D10 Ind #2</t>
  </si>
  <si>
    <t>F4 100uM AA2P scaffolds 1-4, D13 Ind #2</t>
  </si>
  <si>
    <t>F4 100uM AA2P scaffolds 1-4, D3 Ind #3</t>
  </si>
  <si>
    <t>F4 50uM AA2P scaffolds 1-4, D6 Ind #3</t>
  </si>
  <si>
    <t>F4 250uM AA2P scaffolds 1-4, D6 Ind #3</t>
  </si>
  <si>
    <t>F4 200uM AA2P scaffolds 1-4, D8 Ind #3</t>
  </si>
  <si>
    <t>F4 150uM AA2P scaffolds 1-4, D10 Ind #3</t>
  </si>
  <si>
    <t>F4 100uM AA2P scaffolds 1-4, D13 Ind #3</t>
  </si>
  <si>
    <t>F4 150uM AA2P scaffolds 1-4, D3 Ind #1</t>
  </si>
  <si>
    <t>F4 100uM AA2P scaffolds 1-4, D6 Ind #1</t>
  </si>
  <si>
    <t>F4 50uM AA2P scaffolds 1-4, D8 Ind #1</t>
  </si>
  <si>
    <t>F4 250uM AA2P scaffolds 1-4, D8 Ind #1</t>
  </si>
  <si>
    <t>F4 200uM AA2P scaffolds 1-4, D10 Ind #1</t>
  </si>
  <si>
    <t>F4 150uM AA2P scaffolds 1-4, D13 Ind #1</t>
  </si>
  <si>
    <t>F4 150uM AA2P scaffolds 1-4, D3 Ind #2</t>
  </si>
  <si>
    <t>F4 100uM AA2P scaffolds 1-4, D6 Ind #2</t>
  </si>
  <si>
    <t>F4 50uM AA2P scaffolds 1-4, D8 Ind #2</t>
  </si>
  <si>
    <t>F4 250uM AA2P scaffolds 1-4, D8 Ind #2</t>
  </si>
  <si>
    <t>F4 200uM AA2P scaffolds 1-4, D10 Ind #2</t>
  </si>
  <si>
    <t>F4 150uM AA2P scaffolds 1-4, D13 Ind #2</t>
  </si>
  <si>
    <t>F4 150uM AA2P scaffolds 1-4, D3 Ind #3</t>
  </si>
  <si>
    <t>F4 100uM AA2P scaffolds 1-4, D6 Ind #3</t>
  </si>
  <si>
    <t>F4 50uM AA2P scaffolds 1-4, D8 Ind #3</t>
  </si>
  <si>
    <t>F4 250uM AA2P scaffolds 1-4, D8 Ind #3</t>
  </si>
  <si>
    <t>F4 200uM AA2P scaffolds 1-4, D10 Ind #3</t>
  </si>
  <si>
    <t>F4 150uM AA2P scaffolds 1-4, D13 Ind #3</t>
  </si>
  <si>
    <t>F4 250uM AA2P scaffolds 1-4, D13 Ind #1</t>
  </si>
  <si>
    <t>F4 200uM AA2P scaffolds 1-4, D14 Ind #1</t>
  </si>
  <si>
    <t>F4 50uM AA2P scaffolds 1-4, D3 Ind #1 #G0.625</t>
  </si>
  <si>
    <t>F4 250uM AA2P scaffolds 1-4, D3 Ind #1 #G0.3125</t>
  </si>
  <si>
    <t>F4 200uM AA2P scaffolds 1-4, D6 Ind #1 #G0.15625</t>
  </si>
  <si>
    <t>F4 250uM AA2P scaffolds 1-4, D13 Ind #2</t>
  </si>
  <si>
    <t>F4 200uM AA2P scaffolds 1-4, D14 Ind #2</t>
  </si>
  <si>
    <t>F4 50uM AA2P scaffolds 1-4, D3 Ind #2 #G0.625</t>
  </si>
  <si>
    <t>F4 250uM AA2P scaffolds 1-4, D3 Ind #2 #G0.3125</t>
  </si>
  <si>
    <t>F4 200uM AA2P scaffolds 1-4, D6 Ind #2 #G0.15625</t>
  </si>
  <si>
    <t>F4 250uM AA2P scaffolds 1-4, D13 Ind #3</t>
  </si>
  <si>
    <t>F4 200uM AA2P scaffolds 1-4, D14 Ind #3</t>
  </si>
  <si>
    <t>F4 50uM AA2P scaffolds 1-4, D3 Ind #3 #G0.625</t>
  </si>
  <si>
    <t>F4 250uM AA2P scaffolds 1-4, D3 Ind #3 #G0.3125</t>
  </si>
  <si>
    <t>F4 200uM AA2P scaffolds 1-4, D6 Ind #3 #G0.15625</t>
  </si>
  <si>
    <t>F4 50uM AA2P scaffolds 1-4, D14 Ind #1</t>
  </si>
  <si>
    <t>F4 250uM AA2P scaffolds 1-4, D14 Ind #1</t>
  </si>
  <si>
    <t>F4 100uM AA2P scaffolds 1-4, D3 Ind #1 #G0.625</t>
  </si>
  <si>
    <t>F4 50uM AA2P scaffolds 1-4, D6 Ind #1 #G0.3125</t>
  </si>
  <si>
    <t>F4 250uM AA2P scaffolds 1-4, D6 Ind #1 #G0.15625</t>
  </si>
  <si>
    <t>F4 50uM AA2P scaffolds 1-4, D14 Ind #2</t>
  </si>
  <si>
    <t>F4 250uM AA2P scaffolds 1-4, D14 Ind #2</t>
  </si>
  <si>
    <t>F4 100uM AA2P scaffolds 1-4, D3 Ind #2 #G0.625</t>
  </si>
  <si>
    <t>F4 50uM AA2P scaffolds 1-4, D6 Ind #2 #G0.3125</t>
  </si>
  <si>
    <t>F4 250uM AA2P scaffolds 1-4, D6 Ind #2 #G0.15625</t>
  </si>
  <si>
    <t>F4 50uM AA2P scaffolds 1-4, D14 Ind #3</t>
  </si>
  <si>
    <t>F4 250uM AA2P scaffolds 1-4, D14 Ind #3</t>
  </si>
  <si>
    <t>F4 100uM AA2P scaffolds 1-4, D3 Ind #3 #G0.625</t>
  </si>
  <si>
    <t>F4 50uM AA2P scaffolds 1-4, D6 Ind #3 #G0.3125</t>
  </si>
  <si>
    <t>F4 250uM AA2P scaffolds 1-4, D6 Ind #3 #G0.15625</t>
  </si>
  <si>
    <t>F4 100uM AA2P scaffolds 1-4, D14 Ind #1</t>
  </si>
  <si>
    <t>F4 150uM AA2P scaffolds 1-4, D3 Ind #1 #G0.625</t>
  </si>
  <si>
    <t>F4 100uM AA2P scaffolds 1-4, D6 Ind #1 #G0.3125</t>
  </si>
  <si>
    <t>F4 50uM AA2P scaffolds 1-4, D8 Ind #1 #G0.15625</t>
  </si>
  <si>
    <t>F4 100uM AA2P scaffolds 1-4, D14 Ind #2</t>
  </si>
  <si>
    <t>F4 100uM AA2P scaffolds 1-4, D14 Ind #3</t>
  </si>
  <si>
    <t>Hydroxyproline St1</t>
  </si>
  <si>
    <t>standard</t>
  </si>
  <si>
    <t>Hydroxyproline St2</t>
  </si>
  <si>
    <t>Hydroxyproline St3</t>
  </si>
  <si>
    <t>Hydroxyproline St4</t>
  </si>
  <si>
    <t>Hydroxyproline St5</t>
  </si>
  <si>
    <t>Hydroxyproline St6</t>
  </si>
  <si>
    <t>Gelatin 2.5</t>
  </si>
  <si>
    <t>control</t>
  </si>
  <si>
    <t>Gelatin 1.25</t>
  </si>
  <si>
    <t>Gelatin 0.625</t>
  </si>
  <si>
    <t>Gelatin 0.3125</t>
  </si>
  <si>
    <t>Gelatin 0.15625</t>
  </si>
  <si>
    <t>Gelatin 0</t>
  </si>
  <si>
    <t>A</t>
  </si>
  <si>
    <t>B</t>
  </si>
  <si>
    <t>C</t>
  </si>
  <si>
    <t>D</t>
  </si>
  <si>
    <t>E</t>
  </si>
  <si>
    <t>F</t>
  </si>
  <si>
    <t>G</t>
  </si>
  <si>
    <t>H</t>
  </si>
  <si>
    <t>sample_volume_from_digest_ul</t>
  </si>
  <si>
    <t>NaOH_amount_ul</t>
  </si>
  <si>
    <t>H2SO4_amount_ul</t>
  </si>
  <si>
    <t>total_neutralized_volume_ul</t>
  </si>
  <si>
    <t>initial_dilution</t>
  </si>
  <si>
    <t>additional_dilution?</t>
  </si>
  <si>
    <t>neutralized_sample_volume_ul</t>
  </si>
  <si>
    <t>additional_water_ul</t>
  </si>
  <si>
    <t>final_dilution_factor</t>
  </si>
  <si>
    <t>Sample numbers</t>
  </si>
  <si>
    <t>#automatically calculating, revise if needed</t>
  </si>
  <si>
    <t>Colorimetric replicate per sample</t>
  </si>
  <si>
    <t>Gelatin Control numbers</t>
  </si>
  <si>
    <t>Standard point numbers</t>
  </si>
  <si>
    <t>Colorimetric replicate per standard</t>
  </si>
  <si>
    <t>Total wells for colorimetric reactions</t>
  </si>
  <si>
    <t>Manufacturer/Catal</t>
  </si>
  <si>
    <t>Lot</t>
  </si>
  <si>
    <t>Protocl usage</t>
  </si>
  <si>
    <t>Calculation with 30% extra</t>
  </si>
  <si>
    <t>Actual Weighing</t>
  </si>
  <si>
    <t>Oxidation buffer 1x (mL)</t>
  </si>
  <si>
    <t>Chloramine T (mg)</t>
  </si>
  <si>
    <t>Sigma 402869-100G</t>
  </si>
  <si>
    <t>STBK3526</t>
  </si>
  <si>
    <t>Wrap with aluminal after mixing, stable for 2 h</t>
  </si>
  <si>
    <t>Isopropanol (mL)</t>
  </si>
  <si>
    <t>FLALAB 99%</t>
  </si>
  <si>
    <t>R13140</t>
  </si>
  <si>
    <t>50 % Perchloric acid (mL)</t>
  </si>
  <si>
    <t>Thermo 044464.AP</t>
  </si>
  <si>
    <t>Y07I047</t>
  </si>
  <si>
    <t>DMAB (mg)</t>
  </si>
  <si>
    <t>156477-500G</t>
  </si>
  <si>
    <t>BCCK1026</t>
  </si>
  <si>
    <t>Total volume</t>
  </si>
  <si>
    <t>experiment_id</t>
  </si>
  <si>
    <t>HP15-20231023</t>
  </si>
  <si>
    <t>PET723-100116</t>
  </si>
  <si>
    <t>10% HPL</t>
  </si>
  <si>
    <t>CC8-1-05312024-672h</t>
  </si>
  <si>
    <t>HP18-20231026</t>
  </si>
  <si>
    <t>PET723-300116</t>
  </si>
  <si>
    <t>TGFBS (Liquid DMEM)</t>
  </si>
  <si>
    <t>HP30-20231109</t>
  </si>
  <si>
    <t>PET723-600116</t>
  </si>
  <si>
    <t>TGFBS (Powder DMEM)</t>
  </si>
  <si>
    <t>CC6-1-04162024-648h</t>
  </si>
  <si>
    <t>HP31-20231109</t>
  </si>
  <si>
    <t>PET723-60060</t>
  </si>
  <si>
    <t>Brine Sol</t>
  </si>
  <si>
    <t>HP41-20231128</t>
  </si>
  <si>
    <t>PET723-30060</t>
  </si>
  <si>
    <t>10 mg/ml AA2P in DI Water</t>
  </si>
  <si>
    <t>CC3-1-03012024-168h</t>
  </si>
  <si>
    <t>HP48-20231205</t>
  </si>
  <si>
    <t>PET723-10060</t>
  </si>
  <si>
    <t>TGFB Aliquot</t>
  </si>
  <si>
    <t>CC3-2-03012024-168h</t>
  </si>
  <si>
    <t>HP60-20240108</t>
  </si>
  <si>
    <t>PET723-60050</t>
  </si>
  <si>
    <t>PBS w/ BSA</t>
  </si>
  <si>
    <t>CC3-3-03012024-168h</t>
  </si>
  <si>
    <t>HP61-20240108</t>
  </si>
  <si>
    <t>PET723-30050</t>
  </si>
  <si>
    <t>DMEM++</t>
  </si>
  <si>
    <t>CC3-4-03012024-168h</t>
  </si>
  <si>
    <t>HP68-20240112</t>
  </si>
  <si>
    <t>PET723-10050</t>
  </si>
  <si>
    <t>Advanced DMEM</t>
  </si>
  <si>
    <t>CC3-5-03012024-168h</t>
  </si>
  <si>
    <t>HP88-20240212</t>
  </si>
  <si>
    <t>V2P1723-300140</t>
  </si>
  <si>
    <t>10% FBS (Liquid DMEM)</t>
  </si>
  <si>
    <t>CC3-6-03012024-168h</t>
  </si>
  <si>
    <t>HP109-20240414</t>
  </si>
  <si>
    <t>V2P1723-300116</t>
  </si>
  <si>
    <t>Basal DMEM (from powder)</t>
  </si>
  <si>
    <t>CC3-1-03012024-264h</t>
  </si>
  <si>
    <t>HP117-20240410</t>
  </si>
  <si>
    <t>Recycled-PET723-10050</t>
  </si>
  <si>
    <t>Basal IMDM (from powder)</t>
  </si>
  <si>
    <t>CC3-2-03012024-264h</t>
  </si>
  <si>
    <t>HP132-20240422</t>
  </si>
  <si>
    <t>Recycled-PET723-30050</t>
  </si>
  <si>
    <t>Basal AMEM (from powder)</t>
  </si>
  <si>
    <t>CC3-3-03012024-264h</t>
  </si>
  <si>
    <t>HP169-20240531</t>
  </si>
  <si>
    <t>Recycled-PET723-60050</t>
  </si>
  <si>
    <t>10% FBS (Powder DMEM)</t>
  </si>
  <si>
    <t>CC3-4-03012024-264h</t>
  </si>
  <si>
    <t>HP170-20240603</t>
  </si>
  <si>
    <t>CC3-5-03012024-264h</t>
  </si>
  <si>
    <t>HP171-20240603</t>
  </si>
  <si>
    <t>V2P1723-600140</t>
  </si>
  <si>
    <t>CC3-6-03012024-264h</t>
  </si>
  <si>
    <t>HP172-20240603</t>
  </si>
  <si>
    <t>V2P1323-60050</t>
  </si>
  <si>
    <t>CC3-1-03012024-336h</t>
  </si>
  <si>
    <t>HP173-20240603</t>
  </si>
  <si>
    <t>V2P1323-30050</t>
  </si>
  <si>
    <t>CC3-2-03012024-336h</t>
  </si>
  <si>
    <t>HP181-20240611</t>
  </si>
  <si>
    <t>V2P1323-60080</t>
  </si>
  <si>
    <t>CC3-3-03012024-336h</t>
  </si>
  <si>
    <t>HP182-20240611</t>
  </si>
  <si>
    <t>V2P1323-30080</t>
  </si>
  <si>
    <t>CC3-4-03012024-336h</t>
  </si>
  <si>
    <t>V2P1822-600115</t>
  </si>
  <si>
    <t>CC3-5-03012024-336h</t>
  </si>
  <si>
    <t>HP186-20240613</t>
  </si>
  <si>
    <t>V2P1822-300115</t>
  </si>
  <si>
    <t>CC3-6-03012024-336h</t>
  </si>
  <si>
    <t>HP187-20240613</t>
  </si>
  <si>
    <t>V2P1822-150115</t>
  </si>
  <si>
    <t>CC3-1-03012024-504h</t>
  </si>
  <si>
    <t>V1P1822-600135</t>
  </si>
  <si>
    <t>CC3-2-03012024-504h</t>
  </si>
  <si>
    <t>V1P1822-300135</t>
  </si>
  <si>
    <t>CC3-3-03012024-504h</t>
  </si>
  <si>
    <t>V1P1822-150135</t>
  </si>
  <si>
    <t>CC3-4-03012024-504h</t>
  </si>
  <si>
    <t>V1P2822-600135</t>
  </si>
  <si>
    <t>CC3-5-03012024-504h</t>
  </si>
  <si>
    <t>V1P2822-300150</t>
  </si>
  <si>
    <t>CC3-6-03012024-504h</t>
  </si>
  <si>
    <t>V1P2822-150150</t>
  </si>
  <si>
    <t>CC3-1-03012024-672h</t>
  </si>
  <si>
    <t>V3P1323-60055</t>
  </si>
  <si>
    <t>CC3-2-03012024-672h</t>
  </si>
  <si>
    <t>V3P1323-30055</t>
  </si>
  <si>
    <t>CC3-3-03012024-672h</t>
  </si>
  <si>
    <t>V3P1323-600130</t>
  </si>
  <si>
    <t>CC3-4-03012024-672h</t>
  </si>
  <si>
    <t>V3P1323-300130</t>
  </si>
  <si>
    <t>CC3-5-03012024-672h</t>
  </si>
  <si>
    <t>V3P1323-30090</t>
  </si>
  <si>
    <t>CC3-6-03012024-672h</t>
  </si>
  <si>
    <t>V3P1323-60090</t>
  </si>
  <si>
    <t>CC3-7-03012024-672h</t>
  </si>
  <si>
    <t>CC3-8-03012024-672h</t>
  </si>
  <si>
    <t>V2P1822-300116</t>
  </si>
  <si>
    <t>CC4-1-02152024-28d</t>
  </si>
  <si>
    <t>Recycled-PET123-10085</t>
  </si>
  <si>
    <t>CC4-1-02152024-28.1d</t>
  </si>
  <si>
    <t>Recycled-PET123-30085</t>
  </si>
  <si>
    <t>28A</t>
  </si>
  <si>
    <t>Recycled-PET123-60085</t>
  </si>
  <si>
    <t>CC2-1-02082024-1d</t>
  </si>
  <si>
    <t>Recycled-PET123-100116</t>
  </si>
  <si>
    <t>CC2-1-02082024-4d</t>
  </si>
  <si>
    <t>Recycled-PET123-300116</t>
  </si>
  <si>
    <t>CC2-1-02082024-8d</t>
  </si>
  <si>
    <t>Recycled-PET123-600116</t>
  </si>
  <si>
    <t>CC2-1-02082024-12d</t>
  </si>
  <si>
    <t>PET1023-070</t>
  </si>
  <si>
    <t>CC1-1-11162023-7d</t>
  </si>
  <si>
    <t>PET1023-0140</t>
  </si>
  <si>
    <t>CC1-2-11162023-7d</t>
  </si>
  <si>
    <t>CC1-3-11162023-7d</t>
  </si>
  <si>
    <t>CC1-4-11162023-7d</t>
  </si>
  <si>
    <t>CC1-5-11162023-7d</t>
  </si>
  <si>
    <t>CC1-6-11162023-7d</t>
  </si>
  <si>
    <t>CC1-1-11162023-11d</t>
  </si>
  <si>
    <t>CC1-2-11162023-11d</t>
  </si>
  <si>
    <t>CC1-3-11162023-11d</t>
  </si>
  <si>
    <t>CC1-4-11162023-11d</t>
  </si>
  <si>
    <t>CC1-5-11162023-11d</t>
  </si>
  <si>
    <t>CC1-6-11162023-11d</t>
  </si>
  <si>
    <t>CC1-1-11162023-14d</t>
  </si>
  <si>
    <t>CC1-2-11162023-14d</t>
  </si>
  <si>
    <t>CC1-3-11162023-14d</t>
  </si>
  <si>
    <t>CC1-4-11162023-14d</t>
  </si>
  <si>
    <t>CC1-5-11162023-14d</t>
  </si>
  <si>
    <t>CC1-6-11162023-14d</t>
  </si>
  <si>
    <t>CC1-1-11162023-28d</t>
  </si>
  <si>
    <t>CC1-2-11162023-28d</t>
  </si>
  <si>
    <t>CC1-3-11162023-28d</t>
  </si>
  <si>
    <t>CC1-4-11162023-28d</t>
  </si>
  <si>
    <t>CC1-5-11162023-28d</t>
  </si>
  <si>
    <t>CC1-6-11162023-28d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</si>
</sst>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\-dd\-yyyy"/>
    <numFmt numFmtId="165" formatCode="M/d/yyyy"/>
    <numFmt numFmtId="166" formatCode="m/d/yyyy h:mm:ss"/>
    <numFmt numFmtId="167" formatCode="0.000"/>
  </numFmts>
  <fonts count="10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sz val="10.0"/>
      <color rgb="FF000000"/>
      <name val="Helvetica Neue"/>
    </font>
    <font>
      <sz val="12.0"/>
      <color rgb="FF000000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1.0"/>
      <color rgb="FF000000"/>
      <name val="Docs-Calibri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DCD6FF"/>
        <bgColor rgb="FFDCD6FF"/>
      </patternFill>
    </fill>
    <fill>
      <patternFill patternType="solid">
        <fgColor rgb="FFE2EFDA"/>
        <bgColor rgb="FFE2EFDA"/>
      </patternFill>
    </fill>
    <fill>
      <patternFill patternType="solid">
        <fgColor rgb="FFFFD5D0"/>
        <bgColor rgb="FFFFD5D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9">
    <border/>
    <border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165" xfId="0" applyFont="1" applyNumberFormat="1"/>
    <xf borderId="0" fillId="0" fontId="1" numFmtId="165" xfId="0" applyFont="1" applyNumberFormat="1"/>
    <xf borderId="0" fillId="0" fontId="5" numFmtId="0" xfId="0" applyFont="1"/>
    <xf borderId="0" fillId="3" fontId="3" numFmtId="0" xfId="0" applyAlignment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6" fontId="3" numFmtId="0" xfId="0" applyAlignment="1" applyFill="1" applyFont="1">
      <alignment shrinkToFit="0" vertical="bottom" wrapText="1"/>
    </xf>
    <xf borderId="0" fillId="7" fontId="3" numFmtId="0" xfId="0" applyAlignment="1" applyFill="1" applyFont="1">
      <alignment shrinkToFit="0" vertical="bottom" wrapText="1"/>
    </xf>
    <xf borderId="0" fillId="8" fontId="3" numFmtId="0" xfId="0" applyAlignment="1" applyFill="1" applyFont="1">
      <alignment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2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2" fontId="3" numFmtId="0" xfId="0" applyAlignment="1" applyFont="1">
      <alignment horizontal="left" shrinkToFit="0" vertical="center" wrapText="1"/>
    </xf>
    <xf borderId="0" fillId="2" fontId="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9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5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vertical="bottom"/>
    </xf>
    <xf borderId="8" fillId="0" fontId="7" numFmtId="0" xfId="0" applyAlignment="1" applyBorder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9" fontId="9" numFmtId="0" xfId="0" applyAlignment="1" applyFont="1">
      <alignment horizontal="left" readingOrder="0"/>
    </xf>
    <xf borderId="0" fillId="10" fontId="7" numFmtId="0" xfId="0" applyAlignment="1" applyFill="1" applyFont="1">
      <alignment horizontal="right" vertical="bottom"/>
    </xf>
    <xf borderId="0" fillId="11" fontId="7" numFmtId="0" xfId="0" applyAlignment="1" applyFill="1" applyFont="1">
      <alignment horizontal="right" readingOrder="0" vertical="bottom"/>
    </xf>
    <xf borderId="0" fillId="0" fontId="7" numFmtId="0" xfId="0" applyAlignment="1" applyFont="1">
      <alignment shrinkToFit="0" vertical="bottom" wrapText="0"/>
    </xf>
    <xf borderId="0" fillId="0" fontId="7" numFmtId="167" xfId="0" applyAlignment="1" applyFont="1" applyNumberFormat="1">
      <alignment vertical="bottom"/>
    </xf>
    <xf borderId="0" fillId="9" fontId="9" numFmtId="2" xfId="0" applyAlignment="1" applyFont="1" applyNumberFormat="1">
      <alignment horizontal="left" readingOrder="0"/>
    </xf>
    <xf borderId="0" fillId="0" fontId="7" numFmtId="167" xfId="0" applyAlignment="1" applyFont="1" applyNumberFormat="1">
      <alignment horizontal="right" vertical="bottom"/>
    </xf>
    <xf borderId="0" fillId="0" fontId="7" numFmtId="2" xfId="0" applyAlignment="1" applyFont="1" applyNumberFormat="1">
      <alignment horizontal="right" readingOrder="0" vertical="bottom"/>
    </xf>
    <xf borderId="0" fillId="10" fontId="7" numFmtId="167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0" fillId="1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91075" cy="2886075"/>
    <xdr:sp>
      <xdr:nvSpPr>
        <xdr:cNvPr id="3" name="Shape 3"/>
        <xdr:cNvSpPr/>
      </xdr:nvSpPr>
      <xdr:spPr>
        <a:xfrm>
          <a:off x="1200850" y="600450"/>
          <a:ext cx="5093700" cy="30573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7.44"/>
    <col customWidth="1" min="9" max="9" width="13.67"/>
    <col customWidth="1" min="10" max="11" width="17.78"/>
    <col customWidth="1" min="12" max="12" width="12.67"/>
    <col customWidth="1" min="13" max="13" width="13.78"/>
    <col customWidth="1" min="14" max="15" width="16.67"/>
    <col customWidth="1" min="16" max="17" width="14.78"/>
    <col customWidth="1" min="18" max="18" width="8.0"/>
    <col customWidth="1" min="19" max="19" width="15.78"/>
    <col customWidth="1" min="20" max="20" width="10.78"/>
    <col customWidth="1" min="21" max="21" width="22.89"/>
    <col customWidth="1" min="22" max="22" width="11.67"/>
    <col customWidth="1" min="23" max="23" width="69.22"/>
    <col customWidth="1" min="24" max="25" width="20.0"/>
    <col customWidth="1" min="26" max="27" width="24.67"/>
    <col customWidth="1" min="28" max="28" width="26.22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2" t="s">
        <v>22</v>
      </c>
      <c r="X1" s="4" t="s">
        <v>23</v>
      </c>
      <c r="Y1" s="5" t="s">
        <v>24</v>
      </c>
      <c r="Z1" s="7" t="s">
        <v>25</v>
      </c>
      <c r="AA1" s="7" t="s">
        <v>26</v>
      </c>
      <c r="AB1" s="8" t="s">
        <v>27</v>
      </c>
    </row>
    <row r="2" ht="15.75" customHeight="1">
      <c r="A2" s="9" t="str">
        <f>IFERROR(__xludf.DUMMYFUNCTION("if(B2="""","""", REGEXEXTRACT(B2,""(.*)-.*"") &amp; ""-"" &amp; COUNTA($B$2:B2))"),"HP185-1")</f>
        <v>HP185-1</v>
      </c>
      <c r="B2" s="10" t="s">
        <v>28</v>
      </c>
      <c r="C2" s="11" t="s">
        <v>29</v>
      </c>
      <c r="D2" s="10" t="s">
        <v>30</v>
      </c>
      <c r="E2" s="10" t="s">
        <v>31</v>
      </c>
      <c r="F2" s="10" t="s">
        <v>32</v>
      </c>
      <c r="G2" s="12" t="str">
        <f t="shared" ref="G2:G387" si="1">C2</f>
        <v>BDF 50uM AA2P scaffolds 1-4, D3 Ind #1</v>
      </c>
      <c r="H2" s="13"/>
      <c r="I2" s="12">
        <v>1.0</v>
      </c>
      <c r="J2" s="12"/>
      <c r="K2" s="12">
        <v>200.0</v>
      </c>
      <c r="L2" s="12">
        <f t="array" ref="L2">if(D2= "standard", "", if(iserror(index(dilution_factor!$J$2:J387,match(dilution_factor!A2,$C$2:C387,0))),"",index(dilution_factor!$J$2:J387,match(dilution_factor!A2,$C$2:C387,0))))</f>
        <v>4</v>
      </c>
      <c r="M2" s="12">
        <v>20.0</v>
      </c>
      <c r="N2" s="12"/>
      <c r="O2" s="12"/>
      <c r="P2" s="12"/>
      <c r="Q2" s="12"/>
      <c r="R2" s="10" t="s">
        <v>33</v>
      </c>
      <c r="S2" s="10"/>
      <c r="T2" s="10"/>
      <c r="U2" s="10"/>
      <c r="V2" s="14">
        <v>45456.47419259259</v>
      </c>
      <c r="W2" s="4" t="str">
        <f t="shared" ref="W2:W387" si="2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HP185-1,HP185-20240613,BDF 50uM AA2P scaffolds 1-4, D3 Ind #1,sample,liquid,EXP135,BDF 50uM AA2P scaffolds 1-4, D3 Ind #1,,1,,200,4,20,,,,,DS,,,,06-13-2024</v>
      </c>
      <c r="X2" s="15" t="str">
        <f t="shared" ref="X2:X218" si="3">IF(D2="sample",A2&amp;CHAR(10)&amp;C2&amp;CHAR(10)&amp;TEXT(H2,"mm-dd-yyyy"),"")</f>
        <v>HP185-1
BDF 50uM AA2P scaffolds 1-4, D3 Ind #1
12-30-1899</v>
      </c>
      <c r="Y2" s="15" t="str">
        <f t="shared" ref="Y2:Y92" si="4">IFERROR(AVERAGE(N2:O2)-AVERAGE(P2:Q2),)</f>
        <v/>
      </c>
      <c r="Z2" s="15"/>
      <c r="AA2" s="15"/>
      <c r="AB2" s="15" t="str">
        <f t="shared" ref="AB2:AB92" si="5">iferror(AVERAGE(Z2:AA2))</f>
        <v/>
      </c>
    </row>
    <row r="3" ht="15.75" customHeight="1">
      <c r="A3" s="9" t="str">
        <f>IFERROR(__xludf.DUMMYFUNCTION("if(B3="""","""", REGEXEXTRACT(B3,""(.*)-.*"") &amp; ""-"" &amp; COUNTA($B$2:B3))"),"HP185-2")</f>
        <v>HP185-2</v>
      </c>
      <c r="B3" s="10" t="s">
        <v>28</v>
      </c>
      <c r="C3" s="11" t="s">
        <v>34</v>
      </c>
      <c r="D3" s="10" t="s">
        <v>30</v>
      </c>
      <c r="E3" s="10" t="s">
        <v>31</v>
      </c>
      <c r="F3" s="10" t="s">
        <v>32</v>
      </c>
      <c r="G3" s="12" t="str">
        <f t="shared" si="1"/>
        <v>BDF 200uM AA2P scaffolds 1-4, D3 Ind #1</v>
      </c>
      <c r="H3" s="13"/>
      <c r="I3" s="12">
        <v>1.0</v>
      </c>
      <c r="J3" s="16"/>
      <c r="K3" s="12">
        <v>200.0</v>
      </c>
      <c r="L3" s="12">
        <f t="array" ref="L3">if(D3= "standard", "", if(iserror(index(dilution_factor!$J$2:J387,match(dilution_factor!A3,$C$2:C387,0))),"",index(dilution_factor!$J$2:J387,match(dilution_factor!A3,$C$2:C387,0))))</f>
        <v>4</v>
      </c>
      <c r="M3" s="12">
        <v>20.0</v>
      </c>
      <c r="N3" s="16"/>
      <c r="O3" s="16"/>
      <c r="P3" s="16"/>
      <c r="Q3" s="16"/>
      <c r="R3" s="10" t="s">
        <v>33</v>
      </c>
      <c r="S3" s="10"/>
      <c r="T3" s="10"/>
      <c r="U3" s="10"/>
      <c r="V3" s="14">
        <v>45456.47419259259</v>
      </c>
      <c r="W3" s="4" t="str">
        <f t="shared" si="2"/>
        <v>HP185-2,HP185-20240613,BDF 200uM AA2P scaffolds 1-4, D3 Ind #1,sample,liquid,EXP135,BDF 200uM AA2P scaffolds 1-4, D3 Ind #1,,1,,200,4,20,,,,,DS,,,,06-13-2024</v>
      </c>
      <c r="X3" s="15" t="str">
        <f t="shared" si="3"/>
        <v>HP185-2
BDF 200uM AA2P scaffolds 1-4, D3 Ind #1
12-30-1899</v>
      </c>
      <c r="Y3" s="15" t="str">
        <f t="shared" si="4"/>
        <v/>
      </c>
      <c r="Z3" s="15"/>
      <c r="AA3" s="15"/>
      <c r="AB3" s="15" t="str">
        <f t="shared" si="5"/>
        <v/>
      </c>
    </row>
    <row r="4" ht="15.75" customHeight="1">
      <c r="A4" s="9" t="str">
        <f>IFERROR(__xludf.DUMMYFUNCTION("if(B4="""","""", REGEXEXTRACT(B4,""(.*)-.*"") &amp; ""-"" &amp; COUNTA($B$2:B4))"),"HP185-3")</f>
        <v>HP185-3</v>
      </c>
      <c r="B4" s="10" t="s">
        <v>28</v>
      </c>
      <c r="C4" s="11" t="s">
        <v>35</v>
      </c>
      <c r="D4" s="10" t="s">
        <v>30</v>
      </c>
      <c r="E4" s="10" t="s">
        <v>31</v>
      </c>
      <c r="F4" s="10" t="s">
        <v>32</v>
      </c>
      <c r="G4" s="12" t="str">
        <f t="shared" si="1"/>
        <v>BDF 50uM AA2P scaffolds 1-4, D5 Ind #1</v>
      </c>
      <c r="H4" s="17"/>
      <c r="I4" s="12">
        <v>1.0</v>
      </c>
      <c r="J4" s="16"/>
      <c r="K4" s="12">
        <v>200.0</v>
      </c>
      <c r="L4" s="12">
        <f t="array" ref="L4">if(D4= "standard", "", if(iserror(index(dilution_factor!$J$2:J387,match(dilution_factor!A4,$C$2:C387,0))),"",index(dilution_factor!$J$2:J387,match(dilution_factor!A4,$C$2:C387,0))))</f>
        <v>4</v>
      </c>
      <c r="M4" s="12">
        <v>20.0</v>
      </c>
      <c r="N4" s="16"/>
      <c r="O4" s="16"/>
      <c r="P4" s="16"/>
      <c r="Q4" s="16"/>
      <c r="R4" s="10" t="s">
        <v>33</v>
      </c>
      <c r="S4" s="10"/>
      <c r="T4" s="10"/>
      <c r="U4" s="10"/>
      <c r="V4" s="14">
        <v>45456.47419259259</v>
      </c>
      <c r="W4" s="4" t="str">
        <f t="shared" si="2"/>
        <v>HP185-3,HP185-20240613,BDF 50uM AA2P scaffolds 1-4, D5 Ind #1,sample,liquid,EXP135,BDF 50uM AA2P scaffolds 1-4, D5 Ind #1,,1,,200,4,20,,,,,DS,,,,06-13-2024</v>
      </c>
      <c r="X4" s="15" t="str">
        <f t="shared" si="3"/>
        <v>HP185-3
BDF 50uM AA2P scaffolds 1-4, D5 Ind #1
12-30-1899</v>
      </c>
      <c r="Y4" s="15" t="str">
        <f t="shared" si="4"/>
        <v/>
      </c>
      <c r="Z4" s="15"/>
      <c r="AA4" s="15"/>
      <c r="AB4" s="15" t="str">
        <f t="shared" si="5"/>
        <v/>
      </c>
    </row>
    <row r="5" ht="15.75" customHeight="1">
      <c r="A5" s="9" t="str">
        <f>IFERROR(__xludf.DUMMYFUNCTION("if(B5="""","""", REGEXEXTRACT(B5,""(.*)-.*"") &amp; ""-"" &amp; COUNTA($B$2:B5))"),"HP185-4")</f>
        <v>HP185-4</v>
      </c>
      <c r="B5" s="10" t="s">
        <v>28</v>
      </c>
      <c r="C5" s="11" t="s">
        <v>36</v>
      </c>
      <c r="D5" s="10" t="s">
        <v>30</v>
      </c>
      <c r="E5" s="10" t="s">
        <v>31</v>
      </c>
      <c r="F5" s="10" t="s">
        <v>32</v>
      </c>
      <c r="G5" s="12" t="str">
        <f t="shared" si="1"/>
        <v>BDF 200uM AA2P scaffolds 1-4, D5 Ind #1</v>
      </c>
      <c r="H5" s="17"/>
      <c r="I5" s="12">
        <v>1.0</v>
      </c>
      <c r="J5" s="16"/>
      <c r="K5" s="12">
        <v>200.0</v>
      </c>
      <c r="L5" s="12">
        <f t="array" ref="L5">if(D5= "standard", "", if(iserror(index(dilution_factor!$J$2:J387,match(dilution_factor!A5,$C$2:C387,0))),"",index(dilution_factor!$J$2:J387,match(dilution_factor!A5,$C$2:C387,0))))</f>
        <v>4</v>
      </c>
      <c r="M5" s="12">
        <v>20.0</v>
      </c>
      <c r="N5" s="16"/>
      <c r="O5" s="16"/>
      <c r="P5" s="16"/>
      <c r="Q5" s="16"/>
      <c r="R5" s="10" t="s">
        <v>33</v>
      </c>
      <c r="S5" s="10"/>
      <c r="T5" s="10"/>
      <c r="U5" s="10"/>
      <c r="V5" s="14">
        <v>45456.47419259259</v>
      </c>
      <c r="W5" s="4" t="str">
        <f t="shared" si="2"/>
        <v>HP185-4,HP185-20240613,BDF 200uM AA2P scaffolds 1-4, D5 Ind #1,sample,liquid,EXP135,BDF 200uM AA2P scaffolds 1-4, D5 Ind #1,,1,,200,4,20,,,,,DS,,,,06-13-2024</v>
      </c>
      <c r="X5" s="15" t="str">
        <f t="shared" si="3"/>
        <v>HP185-4
BDF 200uM AA2P scaffolds 1-4, D5 Ind #1
12-30-1899</v>
      </c>
      <c r="Y5" s="15" t="str">
        <f t="shared" si="4"/>
        <v/>
      </c>
      <c r="Z5" s="15"/>
      <c r="AA5" s="15"/>
      <c r="AB5" s="15" t="str">
        <f t="shared" si="5"/>
        <v/>
      </c>
    </row>
    <row r="6" ht="15.75" customHeight="1">
      <c r="A6" s="9" t="str">
        <f>IFERROR(__xludf.DUMMYFUNCTION("if(B6="""","""", REGEXEXTRACT(B6,""(.*)-.*"") &amp; ""-"" &amp; COUNTA($B$2:B6))"),"HP185-5")</f>
        <v>HP185-5</v>
      </c>
      <c r="B6" s="10" t="s">
        <v>28</v>
      </c>
      <c r="C6" s="11" t="s">
        <v>37</v>
      </c>
      <c r="D6" s="10" t="s">
        <v>30</v>
      </c>
      <c r="E6" s="10" t="s">
        <v>31</v>
      </c>
      <c r="F6" s="10" t="s">
        <v>32</v>
      </c>
      <c r="G6" s="12" t="str">
        <f t="shared" si="1"/>
        <v>BDF 50uM AA2P scaffolds 1-4, D7 Ind #1</v>
      </c>
      <c r="H6" s="17"/>
      <c r="I6" s="12">
        <v>1.0</v>
      </c>
      <c r="J6" s="16"/>
      <c r="K6" s="12">
        <v>200.0</v>
      </c>
      <c r="L6" s="12">
        <f t="array" ref="L6">if(D6= "standard", "", if(iserror(index(dilution_factor!$J$2:J387,match(dilution_factor!A6,$C$2:C387,0))),"",index(dilution_factor!$J$2:J387,match(dilution_factor!A6,$C$2:C387,0))))</f>
        <v>4</v>
      </c>
      <c r="M6" s="12">
        <v>20.0</v>
      </c>
      <c r="N6" s="16"/>
      <c r="O6" s="16"/>
      <c r="P6" s="16"/>
      <c r="Q6" s="16"/>
      <c r="R6" s="10" t="s">
        <v>33</v>
      </c>
      <c r="S6" s="10"/>
      <c r="T6" s="10"/>
      <c r="U6" s="10"/>
      <c r="V6" s="14">
        <v>45456.47419259259</v>
      </c>
      <c r="W6" s="4" t="str">
        <f t="shared" si="2"/>
        <v>HP185-5,HP185-20240613,BDF 50uM AA2P scaffolds 1-4, D7 Ind #1,sample,liquid,EXP135,BDF 50uM AA2P scaffolds 1-4, D7 Ind #1,,1,,200,4,20,,,,,DS,,,,06-13-2024</v>
      </c>
      <c r="X6" s="15" t="str">
        <f t="shared" si="3"/>
        <v>HP185-5
BDF 50uM AA2P scaffolds 1-4, D7 Ind #1
12-30-1899</v>
      </c>
      <c r="Y6" s="15" t="str">
        <f t="shared" si="4"/>
        <v/>
      </c>
      <c r="Z6" s="15"/>
      <c r="AA6" s="15"/>
      <c r="AB6" s="15" t="str">
        <f t="shared" si="5"/>
        <v/>
      </c>
    </row>
    <row r="7" ht="15.75" customHeight="1">
      <c r="A7" s="9" t="str">
        <f>IFERROR(__xludf.DUMMYFUNCTION("if(B7="""","""", REGEXEXTRACT(B7,""(.*)-.*"") &amp; ""-"" &amp; COUNTA($B$2:B7))"),"HP185-6")</f>
        <v>HP185-6</v>
      </c>
      <c r="B7" s="10" t="s">
        <v>28</v>
      </c>
      <c r="C7" s="11" t="s">
        <v>38</v>
      </c>
      <c r="D7" s="10" t="s">
        <v>30</v>
      </c>
      <c r="E7" s="10" t="s">
        <v>31</v>
      </c>
      <c r="F7" s="10" t="s">
        <v>32</v>
      </c>
      <c r="G7" s="12" t="str">
        <f t="shared" si="1"/>
        <v>BDF 200uM AA2P scaffolds 1-4, D7 Ind #1</v>
      </c>
      <c r="H7" s="17"/>
      <c r="I7" s="12">
        <v>1.0</v>
      </c>
      <c r="J7" s="16"/>
      <c r="K7" s="12">
        <v>200.0</v>
      </c>
      <c r="L7" s="12">
        <f t="array" ref="L7">if(D7= "standard", "", if(iserror(index(dilution_factor!$J$2:J387,match(dilution_factor!A7,$C$2:C387,0))),"",index(dilution_factor!$J$2:J387,match(dilution_factor!A7,$C$2:C387,0))))</f>
        <v>4</v>
      </c>
      <c r="M7" s="12">
        <v>20.0</v>
      </c>
      <c r="N7" s="16"/>
      <c r="O7" s="16"/>
      <c r="P7" s="16"/>
      <c r="Q7" s="16"/>
      <c r="R7" s="10" t="s">
        <v>33</v>
      </c>
      <c r="S7" s="10"/>
      <c r="T7" s="10"/>
      <c r="U7" s="10"/>
      <c r="V7" s="14">
        <v>45456.47419259259</v>
      </c>
      <c r="W7" s="4" t="str">
        <f t="shared" si="2"/>
        <v>HP185-6,HP185-20240613,BDF 200uM AA2P scaffolds 1-4, D7 Ind #1,sample,liquid,EXP135,BDF 200uM AA2P scaffolds 1-4, D7 Ind #1,,1,,200,4,20,,,,,DS,,,,06-13-2024</v>
      </c>
      <c r="X7" s="15" t="str">
        <f t="shared" si="3"/>
        <v>HP185-6
BDF 200uM AA2P scaffolds 1-4, D7 Ind #1
12-30-1899</v>
      </c>
      <c r="Y7" s="15" t="str">
        <f t="shared" si="4"/>
        <v/>
      </c>
      <c r="Z7" s="15"/>
      <c r="AA7" s="15"/>
      <c r="AB7" s="15" t="str">
        <f t="shared" si="5"/>
        <v/>
      </c>
    </row>
    <row r="8" ht="15.75" customHeight="1">
      <c r="A8" s="9" t="str">
        <f>IFERROR(__xludf.DUMMYFUNCTION("if(B8="""","""", REGEXEXTRACT(B8,""(.*)-.*"") &amp; ""-"" &amp; COUNTA($B$2:B8))"),"HP185-7")</f>
        <v>HP185-7</v>
      </c>
      <c r="B8" s="10" t="s">
        <v>28</v>
      </c>
      <c r="C8" s="11" t="s">
        <v>39</v>
      </c>
      <c r="D8" s="10" t="s">
        <v>30</v>
      </c>
      <c r="E8" s="10" t="s">
        <v>31</v>
      </c>
      <c r="F8" s="10" t="s">
        <v>32</v>
      </c>
      <c r="G8" s="12" t="str">
        <f t="shared" si="1"/>
        <v>BDF 50uM AA2P scaffolds 1-4, D3 Ind #2</v>
      </c>
      <c r="H8" s="17"/>
      <c r="I8" s="12">
        <v>1.0</v>
      </c>
      <c r="J8" s="16"/>
      <c r="K8" s="12">
        <v>200.0</v>
      </c>
      <c r="L8" s="12">
        <f t="array" ref="L8">if(D8= "standard", "", if(iserror(index(dilution_factor!$J$2:J387,match(dilution_factor!A8,$C$2:C387,0))),"",index(dilution_factor!$J$2:J387,match(dilution_factor!A8,$C$2:C387,0))))</f>
        <v>4</v>
      </c>
      <c r="M8" s="12">
        <v>20.0</v>
      </c>
      <c r="N8" s="16"/>
      <c r="O8" s="16"/>
      <c r="P8" s="16"/>
      <c r="Q8" s="16"/>
      <c r="R8" s="10" t="s">
        <v>33</v>
      </c>
      <c r="S8" s="10"/>
      <c r="T8" s="10"/>
      <c r="U8" s="10"/>
      <c r="V8" s="14">
        <v>45456.47419259259</v>
      </c>
      <c r="W8" s="4" t="str">
        <f t="shared" si="2"/>
        <v>HP185-7,HP185-20240613,BDF 50uM AA2P scaffolds 1-4, D3 Ind #2,sample,liquid,EXP135,BDF 50uM AA2P scaffolds 1-4, D3 Ind #2,,1,,200,4,20,,,,,DS,,,,06-13-2024</v>
      </c>
      <c r="X8" s="15" t="str">
        <f t="shared" si="3"/>
        <v>HP185-7
BDF 50uM AA2P scaffolds 1-4, D3 Ind #2
12-30-1899</v>
      </c>
      <c r="Y8" s="15" t="str">
        <f t="shared" si="4"/>
        <v/>
      </c>
      <c r="Z8" s="15"/>
      <c r="AA8" s="15"/>
      <c r="AB8" s="15" t="str">
        <f t="shared" si="5"/>
        <v/>
      </c>
    </row>
    <row r="9" ht="15.75" customHeight="1">
      <c r="A9" s="9" t="str">
        <f>IFERROR(__xludf.DUMMYFUNCTION("if(B9="""","""", REGEXEXTRACT(B9,""(.*)-.*"") &amp; ""-"" &amp; COUNTA($B$2:B9))"),"HP185-8")</f>
        <v>HP185-8</v>
      </c>
      <c r="B9" s="10" t="s">
        <v>28</v>
      </c>
      <c r="C9" s="11" t="s">
        <v>40</v>
      </c>
      <c r="D9" s="10" t="s">
        <v>30</v>
      </c>
      <c r="E9" s="10" t="s">
        <v>31</v>
      </c>
      <c r="F9" s="10" t="s">
        <v>32</v>
      </c>
      <c r="G9" s="12" t="str">
        <f t="shared" si="1"/>
        <v>BDF 200uM AA2P scaffolds 1-4, D3 Ind #2</v>
      </c>
      <c r="H9" s="17"/>
      <c r="I9" s="12">
        <v>1.0</v>
      </c>
      <c r="J9" s="16"/>
      <c r="K9" s="12">
        <v>200.0</v>
      </c>
      <c r="L9" s="12">
        <f t="array" ref="L9">if(D9= "standard", "", if(iserror(index(dilution_factor!$J$2:J387,match(dilution_factor!A9,$C$2:C387,0))),"",index(dilution_factor!$J$2:J387,match(dilution_factor!A9,$C$2:C387,0))))</f>
        <v>4</v>
      </c>
      <c r="M9" s="12">
        <v>20.0</v>
      </c>
      <c r="N9" s="16"/>
      <c r="O9" s="16"/>
      <c r="P9" s="16"/>
      <c r="Q9" s="16"/>
      <c r="R9" s="10" t="s">
        <v>33</v>
      </c>
      <c r="S9" s="10"/>
      <c r="T9" s="10"/>
      <c r="U9" s="10"/>
      <c r="V9" s="14">
        <v>45456.47419259259</v>
      </c>
      <c r="W9" s="4" t="str">
        <f t="shared" si="2"/>
        <v>HP185-8,HP185-20240613,BDF 200uM AA2P scaffolds 1-4, D3 Ind #2,sample,liquid,EXP135,BDF 200uM AA2P scaffolds 1-4, D3 Ind #2,,1,,200,4,20,,,,,DS,,,,06-13-2024</v>
      </c>
      <c r="X9" s="15" t="str">
        <f t="shared" si="3"/>
        <v>HP185-8
BDF 200uM AA2P scaffolds 1-4, D3 Ind #2
12-30-1899</v>
      </c>
      <c r="Y9" s="15" t="str">
        <f t="shared" si="4"/>
        <v/>
      </c>
      <c r="Z9" s="15"/>
      <c r="AA9" s="15"/>
      <c r="AB9" s="15" t="str">
        <f t="shared" si="5"/>
        <v/>
      </c>
    </row>
    <row r="10" ht="15.75" customHeight="1">
      <c r="A10" s="9" t="str">
        <f>IFERROR(__xludf.DUMMYFUNCTION("if(B10="""","""", REGEXEXTRACT(B10,""(.*)-.*"") &amp; ""-"" &amp; COUNTA($B$2:B10))"),"HP185-9")</f>
        <v>HP185-9</v>
      </c>
      <c r="B10" s="10" t="s">
        <v>28</v>
      </c>
      <c r="C10" s="11" t="s">
        <v>41</v>
      </c>
      <c r="D10" s="10" t="s">
        <v>30</v>
      </c>
      <c r="E10" s="10" t="s">
        <v>31</v>
      </c>
      <c r="F10" s="10" t="s">
        <v>32</v>
      </c>
      <c r="G10" s="12" t="str">
        <f t="shared" si="1"/>
        <v>BDF 50uM AA2P scaffolds 1-4, D5 Ind #2</v>
      </c>
      <c r="H10" s="17"/>
      <c r="I10" s="12">
        <v>1.0</v>
      </c>
      <c r="J10" s="16"/>
      <c r="K10" s="12">
        <v>200.0</v>
      </c>
      <c r="L10" s="12">
        <f t="array" ref="L10">if(D10= "standard", "", if(iserror(index(dilution_factor!$J$2:J387,match(dilution_factor!A10,$C$2:C387,0))),"",index(dilution_factor!$J$2:J387,match(dilution_factor!A10,$C$2:C387,0))))</f>
        <v>4</v>
      </c>
      <c r="M10" s="12">
        <v>20.0</v>
      </c>
      <c r="N10" s="16"/>
      <c r="O10" s="16"/>
      <c r="P10" s="16"/>
      <c r="Q10" s="16"/>
      <c r="R10" s="10" t="s">
        <v>33</v>
      </c>
      <c r="S10" s="10"/>
      <c r="T10" s="10"/>
      <c r="U10" s="10"/>
      <c r="V10" s="14">
        <v>45456.47419259259</v>
      </c>
      <c r="W10" s="4" t="str">
        <f t="shared" si="2"/>
        <v>HP185-9,HP185-20240613,BDF 50uM AA2P scaffolds 1-4, D5 Ind #2,sample,liquid,EXP135,BDF 50uM AA2P scaffolds 1-4, D5 Ind #2,,1,,200,4,20,,,,,DS,,,,06-13-2024</v>
      </c>
      <c r="X10" s="15" t="str">
        <f t="shared" si="3"/>
        <v>HP185-9
BDF 50uM AA2P scaffolds 1-4, D5 Ind #2
12-30-1899</v>
      </c>
      <c r="Y10" s="15" t="str">
        <f t="shared" si="4"/>
        <v/>
      </c>
      <c r="Z10" s="15"/>
      <c r="AA10" s="15"/>
      <c r="AB10" s="15" t="str">
        <f t="shared" si="5"/>
        <v/>
      </c>
    </row>
    <row r="11" ht="15.75" customHeight="1">
      <c r="A11" s="9" t="str">
        <f>IFERROR(__xludf.DUMMYFUNCTION("if(B11="""","""", REGEXEXTRACT(B11,""(.*)-.*"") &amp; ""-"" &amp; COUNTA($B$2:B11))"),"HP185-10")</f>
        <v>HP185-10</v>
      </c>
      <c r="B11" s="10" t="s">
        <v>28</v>
      </c>
      <c r="C11" s="11" t="s">
        <v>42</v>
      </c>
      <c r="D11" s="10" t="s">
        <v>30</v>
      </c>
      <c r="E11" s="10" t="s">
        <v>31</v>
      </c>
      <c r="F11" s="10" t="s">
        <v>32</v>
      </c>
      <c r="G11" s="12" t="str">
        <f t="shared" si="1"/>
        <v>BDF 200uM AA2P scaffolds 1-4, D5 Ind #2</v>
      </c>
      <c r="H11" s="17"/>
      <c r="I11" s="12">
        <v>1.0</v>
      </c>
      <c r="J11" s="16"/>
      <c r="K11" s="12">
        <v>200.0</v>
      </c>
      <c r="L11" s="12">
        <f t="array" ref="L11">if(D11= "standard", "", if(iserror(index(dilution_factor!$J$2:J387,match(dilution_factor!A11,$C$2:C387,0))),"",index(dilution_factor!$J$2:J387,match(dilution_factor!A11,$C$2:C387,0))))</f>
        <v>4</v>
      </c>
      <c r="M11" s="12">
        <v>20.0</v>
      </c>
      <c r="N11" s="16"/>
      <c r="O11" s="16"/>
      <c r="P11" s="16"/>
      <c r="Q11" s="16"/>
      <c r="R11" s="10" t="s">
        <v>33</v>
      </c>
      <c r="S11" s="10"/>
      <c r="T11" s="10"/>
      <c r="U11" s="10"/>
      <c r="V11" s="14">
        <v>45456.47419259259</v>
      </c>
      <c r="W11" s="4" t="str">
        <f t="shared" si="2"/>
        <v>HP185-10,HP185-20240613,BDF 200uM AA2P scaffolds 1-4, D5 Ind #2,sample,liquid,EXP135,BDF 200uM AA2P scaffolds 1-4, D5 Ind #2,,1,,200,4,20,,,,,DS,,,,06-13-2024</v>
      </c>
      <c r="X11" s="15" t="str">
        <f t="shared" si="3"/>
        <v>HP185-10
BDF 200uM AA2P scaffolds 1-4, D5 Ind #2
12-30-1899</v>
      </c>
      <c r="Y11" s="15" t="str">
        <f t="shared" si="4"/>
        <v/>
      </c>
      <c r="Z11" s="15"/>
      <c r="AA11" s="15"/>
      <c r="AB11" s="15" t="str">
        <f t="shared" si="5"/>
        <v/>
      </c>
    </row>
    <row r="12" ht="15.75" customHeight="1">
      <c r="A12" s="9" t="str">
        <f>IFERROR(__xludf.DUMMYFUNCTION("if(B12="""","""", REGEXEXTRACT(B12,""(.*)-.*"") &amp; ""-"" &amp; COUNTA($B$2:B12))"),"HP185-11")</f>
        <v>HP185-11</v>
      </c>
      <c r="B12" s="10" t="s">
        <v>28</v>
      </c>
      <c r="C12" s="11" t="s">
        <v>43</v>
      </c>
      <c r="D12" s="10" t="s">
        <v>30</v>
      </c>
      <c r="E12" s="10" t="s">
        <v>31</v>
      </c>
      <c r="F12" s="10" t="s">
        <v>32</v>
      </c>
      <c r="G12" s="12" t="str">
        <f t="shared" si="1"/>
        <v>BDF 50uM AA2P scaffolds 1-4, D7 Ind #2</v>
      </c>
      <c r="H12" s="18"/>
      <c r="I12" s="12">
        <v>1.0</v>
      </c>
      <c r="J12" s="2"/>
      <c r="K12" s="12">
        <v>200.0</v>
      </c>
      <c r="L12" s="12">
        <f t="array" ref="L12">if(D12= "standard", "", if(iserror(index(dilution_factor!$J$2:J387,match(dilution_factor!A12,$C$2:C387,0))),"",index(dilution_factor!$J$2:J387,match(dilution_factor!A12,$C$2:C387,0))))</f>
        <v>4</v>
      </c>
      <c r="M12" s="12">
        <v>20.0</v>
      </c>
      <c r="N12" s="19"/>
      <c r="O12" s="19"/>
      <c r="P12" s="19"/>
      <c r="Q12" s="19"/>
      <c r="R12" s="10" t="s">
        <v>33</v>
      </c>
      <c r="S12" s="10"/>
      <c r="T12" s="10"/>
      <c r="U12" s="10"/>
      <c r="V12" s="14">
        <v>45456.47419259259</v>
      </c>
      <c r="W12" s="4" t="str">
        <f t="shared" si="2"/>
        <v>HP185-11,HP185-20240613,BDF 50uM AA2P scaffolds 1-4, D7 Ind #2,sample,liquid,EXP135,BDF 50uM AA2P scaffolds 1-4, D7 Ind #2,,1,,200,4,20,,,,,DS,,,,06-13-2024</v>
      </c>
      <c r="X12" s="15" t="str">
        <f t="shared" si="3"/>
        <v>HP185-11
BDF 50uM AA2P scaffolds 1-4, D7 Ind #2
12-30-1899</v>
      </c>
      <c r="Y12" s="15" t="str">
        <f t="shared" si="4"/>
        <v/>
      </c>
      <c r="Z12" s="15"/>
      <c r="AA12" s="15"/>
      <c r="AB12" s="15" t="str">
        <f t="shared" si="5"/>
        <v/>
      </c>
    </row>
    <row r="13" ht="15.75" customHeight="1">
      <c r="A13" s="9" t="str">
        <f>IFERROR(__xludf.DUMMYFUNCTION("if(B13="""","""", REGEXEXTRACT(B13,""(.*)-.*"") &amp; ""-"" &amp; COUNTA($B$2:B13))"),"HP185-12")</f>
        <v>HP185-12</v>
      </c>
      <c r="B13" s="10" t="s">
        <v>28</v>
      </c>
      <c r="C13" s="20" t="s">
        <v>44</v>
      </c>
      <c r="D13" s="10" t="s">
        <v>30</v>
      </c>
      <c r="E13" s="10" t="s">
        <v>31</v>
      </c>
      <c r="F13" s="10" t="s">
        <v>32</v>
      </c>
      <c r="G13" s="12" t="str">
        <f t="shared" si="1"/>
        <v>BDF 200uM AA2P scaffolds 1-4, D7 Ind #2</v>
      </c>
      <c r="H13" s="18"/>
      <c r="I13" s="12">
        <v>1.0</v>
      </c>
      <c r="J13" s="2"/>
      <c r="K13" s="12">
        <v>200.0</v>
      </c>
      <c r="L13" s="12">
        <f t="array" ref="L13">if(D13= "standard", "", if(iserror(index(dilution_factor!$J$2:J387,match(dilution_factor!A13,$C$2:C387,0))),"",index(dilution_factor!$J$2:J387,match(dilution_factor!A13,$C$2:C387,0))))</f>
        <v>4</v>
      </c>
      <c r="M13" s="12">
        <v>20.0</v>
      </c>
      <c r="N13" s="19"/>
      <c r="O13" s="19"/>
      <c r="P13" s="19"/>
      <c r="Q13" s="19"/>
      <c r="R13" s="10" t="s">
        <v>33</v>
      </c>
      <c r="S13" s="10"/>
      <c r="T13" s="10"/>
      <c r="U13" s="10"/>
      <c r="V13" s="14">
        <v>45456.47419259259</v>
      </c>
      <c r="W13" s="4" t="str">
        <f t="shared" si="2"/>
        <v>HP185-12,HP185-20240613,BDF 200uM AA2P scaffolds 1-4, D7 Ind #2,sample,liquid,EXP135,BDF 200uM AA2P scaffolds 1-4, D7 Ind #2,,1,,200,4,20,,,,,DS,,,,06-13-2024</v>
      </c>
      <c r="X13" s="15" t="str">
        <f t="shared" si="3"/>
        <v>HP185-12
BDF 200uM AA2P scaffolds 1-4, D7 Ind #2
12-30-1899</v>
      </c>
      <c r="Y13" s="15" t="str">
        <f t="shared" si="4"/>
        <v/>
      </c>
      <c r="Z13" s="15"/>
      <c r="AA13" s="15"/>
      <c r="AB13" s="15" t="str">
        <f t="shared" si="5"/>
        <v/>
      </c>
    </row>
    <row r="14" ht="15.75" customHeight="1">
      <c r="A14" s="9" t="str">
        <f>IFERROR(__xludf.DUMMYFUNCTION("if(B14="""","""", REGEXEXTRACT(B14,""(.*)-.*"") &amp; ""-"" &amp; COUNTA($B$2:B14))"),"HP185-13")</f>
        <v>HP185-13</v>
      </c>
      <c r="B14" s="10" t="s">
        <v>28</v>
      </c>
      <c r="C14" s="20" t="s">
        <v>45</v>
      </c>
      <c r="D14" s="10" t="s">
        <v>30</v>
      </c>
      <c r="E14" s="10" t="s">
        <v>31</v>
      </c>
      <c r="F14" s="10" t="s">
        <v>32</v>
      </c>
      <c r="G14" s="12" t="str">
        <f t="shared" si="1"/>
        <v>BDF 50uM AA2P scaffolds 1-4, D3 Ind #3</v>
      </c>
      <c r="H14" s="18"/>
      <c r="I14" s="12">
        <v>1.0</v>
      </c>
      <c r="J14" s="2"/>
      <c r="K14" s="12">
        <v>200.0</v>
      </c>
      <c r="L14" s="12">
        <f t="array" ref="L14">if(D14= "standard", "", if(iserror(index(dilution_factor!$J$2:J387,match(dilution_factor!A14,$C$2:C387,0))),"",index(dilution_factor!$J$2:J387,match(dilution_factor!A14,$C$2:C387,0))))</f>
        <v>4</v>
      </c>
      <c r="M14" s="12">
        <v>20.0</v>
      </c>
      <c r="N14" s="19"/>
      <c r="O14" s="19"/>
      <c r="P14" s="19"/>
      <c r="Q14" s="19"/>
      <c r="R14" s="10" t="s">
        <v>33</v>
      </c>
      <c r="S14" s="10"/>
      <c r="T14" s="10"/>
      <c r="U14" s="10"/>
      <c r="V14" s="14">
        <v>45456.47419259259</v>
      </c>
      <c r="W14" s="4" t="str">
        <f t="shared" si="2"/>
        <v>HP185-13,HP185-20240613,BDF 50uM AA2P scaffolds 1-4, D3 Ind #3,sample,liquid,EXP135,BDF 50uM AA2P scaffolds 1-4, D3 Ind #3,,1,,200,4,20,,,,,DS,,,,06-13-2024</v>
      </c>
      <c r="X14" s="15" t="str">
        <f t="shared" si="3"/>
        <v>HP185-13
BDF 50uM AA2P scaffolds 1-4, D3 Ind #3
12-30-1899</v>
      </c>
      <c r="Y14" s="15" t="str">
        <f t="shared" si="4"/>
        <v/>
      </c>
      <c r="Z14" s="15"/>
      <c r="AA14" s="15"/>
      <c r="AB14" s="15" t="str">
        <f t="shared" si="5"/>
        <v/>
      </c>
    </row>
    <row r="15" ht="15.75" customHeight="1">
      <c r="A15" s="9" t="str">
        <f>IFERROR(__xludf.DUMMYFUNCTION("if(B15="""","""", REGEXEXTRACT(B15,""(.*)-.*"") &amp; ""-"" &amp; COUNTA($B$2:B15))"),"HP185-14")</f>
        <v>HP185-14</v>
      </c>
      <c r="B15" s="10" t="s">
        <v>28</v>
      </c>
      <c r="C15" s="20" t="s">
        <v>46</v>
      </c>
      <c r="D15" s="10" t="s">
        <v>30</v>
      </c>
      <c r="E15" s="10" t="s">
        <v>31</v>
      </c>
      <c r="F15" s="10" t="s">
        <v>32</v>
      </c>
      <c r="G15" s="12" t="str">
        <f t="shared" si="1"/>
        <v>BDF 200uM AA2P scaffolds 1-4, D3 Ind #3</v>
      </c>
      <c r="H15" s="18"/>
      <c r="I15" s="12">
        <v>1.0</v>
      </c>
      <c r="J15" s="2"/>
      <c r="K15" s="12">
        <v>200.0</v>
      </c>
      <c r="L15" s="12">
        <f t="array" ref="L15">if(D15= "standard", "", if(iserror(index(dilution_factor!$J$2:J387,match(dilution_factor!A15,$C$2:C387,0))),"",index(dilution_factor!$J$2:J387,match(dilution_factor!A15,$C$2:C387,0))))</f>
        <v>4</v>
      </c>
      <c r="M15" s="12">
        <v>20.0</v>
      </c>
      <c r="N15" s="19"/>
      <c r="O15" s="19"/>
      <c r="P15" s="19"/>
      <c r="Q15" s="19"/>
      <c r="R15" s="10" t="s">
        <v>33</v>
      </c>
      <c r="S15" s="10"/>
      <c r="T15" s="10"/>
      <c r="U15" s="10"/>
      <c r="V15" s="14">
        <v>45456.47419259259</v>
      </c>
      <c r="W15" s="4" t="str">
        <f t="shared" si="2"/>
        <v>HP185-14,HP185-20240613,BDF 200uM AA2P scaffolds 1-4, D3 Ind #3,sample,liquid,EXP135,BDF 200uM AA2P scaffolds 1-4, D3 Ind #3,,1,,200,4,20,,,,,DS,,,,06-13-2024</v>
      </c>
      <c r="X15" s="15" t="str">
        <f t="shared" si="3"/>
        <v>HP185-14
BDF 200uM AA2P scaffolds 1-4, D3 Ind #3
12-30-1899</v>
      </c>
      <c r="Y15" s="15" t="str">
        <f t="shared" si="4"/>
        <v/>
      </c>
      <c r="Z15" s="15"/>
      <c r="AA15" s="15"/>
      <c r="AB15" s="15" t="str">
        <f t="shared" si="5"/>
        <v/>
      </c>
    </row>
    <row r="16" ht="15.75" customHeight="1">
      <c r="A16" s="9" t="str">
        <f>IFERROR(__xludf.DUMMYFUNCTION("if(B16="""","""", REGEXEXTRACT(B16,""(.*)-.*"") &amp; ""-"" &amp; COUNTA($B$2:B16))"),"HP185-15")</f>
        <v>HP185-15</v>
      </c>
      <c r="B16" s="10" t="s">
        <v>28</v>
      </c>
      <c r="C16" s="20" t="s">
        <v>47</v>
      </c>
      <c r="D16" s="10" t="s">
        <v>30</v>
      </c>
      <c r="E16" s="10" t="s">
        <v>31</v>
      </c>
      <c r="F16" s="10" t="s">
        <v>32</v>
      </c>
      <c r="G16" s="12" t="str">
        <f t="shared" si="1"/>
        <v>BDF 50uM AA2P scaffolds 1-4, D5 Ind #3</v>
      </c>
      <c r="H16" s="18"/>
      <c r="I16" s="12">
        <v>1.0</v>
      </c>
      <c r="J16" s="2"/>
      <c r="K16" s="12">
        <v>200.0</v>
      </c>
      <c r="L16" s="12">
        <f t="array" ref="L16">if(D16= "standard", "", if(iserror(index(dilution_factor!$J$2:J387,match(dilution_factor!A16,$C$2:C387,0))),"",index(dilution_factor!$J$2:J387,match(dilution_factor!A16,$C$2:C387,0))))</f>
        <v>4</v>
      </c>
      <c r="M16" s="12">
        <v>20.0</v>
      </c>
      <c r="N16" s="19"/>
      <c r="O16" s="19"/>
      <c r="P16" s="19"/>
      <c r="Q16" s="19"/>
      <c r="R16" s="10" t="s">
        <v>33</v>
      </c>
      <c r="S16" s="10"/>
      <c r="T16" s="10"/>
      <c r="U16" s="10"/>
      <c r="V16" s="14">
        <v>45456.47419259259</v>
      </c>
      <c r="W16" s="4" t="str">
        <f t="shared" si="2"/>
        <v>HP185-15,HP185-20240613,BDF 50uM AA2P scaffolds 1-4, D5 Ind #3,sample,liquid,EXP135,BDF 50uM AA2P scaffolds 1-4, D5 Ind #3,,1,,200,4,20,,,,,DS,,,,06-13-2024</v>
      </c>
      <c r="X16" s="15" t="str">
        <f t="shared" si="3"/>
        <v>HP185-15
BDF 50uM AA2P scaffolds 1-4, D5 Ind #3
12-30-1899</v>
      </c>
      <c r="Y16" s="15" t="str">
        <f t="shared" si="4"/>
        <v/>
      </c>
      <c r="Z16" s="15"/>
      <c r="AA16" s="15"/>
      <c r="AB16" s="15" t="str">
        <f t="shared" si="5"/>
        <v/>
      </c>
    </row>
    <row r="17" ht="15.75" customHeight="1">
      <c r="A17" s="9" t="str">
        <f>IFERROR(__xludf.DUMMYFUNCTION("if(B17="""","""", REGEXEXTRACT(B17,""(.*)-.*"") &amp; ""-"" &amp; COUNTA($B$2:B17))"),"HP185-16")</f>
        <v>HP185-16</v>
      </c>
      <c r="B17" s="10" t="s">
        <v>28</v>
      </c>
      <c r="C17" s="20" t="s">
        <v>48</v>
      </c>
      <c r="D17" s="10" t="s">
        <v>30</v>
      </c>
      <c r="E17" s="10" t="s">
        <v>31</v>
      </c>
      <c r="F17" s="10" t="s">
        <v>32</v>
      </c>
      <c r="G17" s="12" t="str">
        <f t="shared" si="1"/>
        <v>BDF 200uM AA2P scaffolds 1-4, D5 Ind #3</v>
      </c>
      <c r="H17" s="18"/>
      <c r="I17" s="12">
        <v>1.0</v>
      </c>
      <c r="J17" s="2"/>
      <c r="K17" s="12">
        <v>200.0</v>
      </c>
      <c r="L17" s="12">
        <f t="array" ref="L17">if(D17= "standard", "", if(iserror(index(dilution_factor!$J$2:J387,match(dilution_factor!A17,$C$2:C387,0))),"",index(dilution_factor!$J$2:J387,match(dilution_factor!A17,$C$2:C387,0))))</f>
        <v>4</v>
      </c>
      <c r="M17" s="12">
        <v>20.0</v>
      </c>
      <c r="N17" s="19"/>
      <c r="O17" s="19"/>
      <c r="P17" s="19"/>
      <c r="Q17" s="19"/>
      <c r="R17" s="10" t="s">
        <v>33</v>
      </c>
      <c r="S17" s="10"/>
      <c r="T17" s="10"/>
      <c r="U17" s="10"/>
      <c r="V17" s="14">
        <v>45456.47419259259</v>
      </c>
      <c r="W17" s="4" t="str">
        <f t="shared" si="2"/>
        <v>HP185-16,HP185-20240613,BDF 200uM AA2P scaffolds 1-4, D5 Ind #3,sample,liquid,EXP135,BDF 200uM AA2P scaffolds 1-4, D5 Ind #3,,1,,200,4,20,,,,,DS,,,,06-13-2024</v>
      </c>
      <c r="X17" s="15" t="str">
        <f t="shared" si="3"/>
        <v>HP185-16
BDF 200uM AA2P scaffolds 1-4, D5 Ind #3
12-30-1899</v>
      </c>
      <c r="Y17" s="15" t="str">
        <f t="shared" si="4"/>
        <v/>
      </c>
      <c r="Z17" s="15"/>
      <c r="AA17" s="15"/>
      <c r="AB17" s="15" t="str">
        <f t="shared" si="5"/>
        <v/>
      </c>
    </row>
    <row r="18" ht="15.75" customHeight="1">
      <c r="A18" s="9" t="str">
        <f>IFERROR(__xludf.DUMMYFUNCTION("if(B18="""","""", REGEXEXTRACT(B18,""(.*)-.*"") &amp; ""-"" &amp; COUNTA($B$2:B18))"),"HP185-17")</f>
        <v>HP185-17</v>
      </c>
      <c r="B18" s="10" t="s">
        <v>28</v>
      </c>
      <c r="C18" s="20" t="s">
        <v>49</v>
      </c>
      <c r="D18" s="10" t="s">
        <v>30</v>
      </c>
      <c r="E18" s="10" t="s">
        <v>31</v>
      </c>
      <c r="F18" s="10" t="s">
        <v>32</v>
      </c>
      <c r="G18" s="12" t="str">
        <f t="shared" si="1"/>
        <v>BDF 50uM AA2P scaffolds 1-4, D7 Ind #3</v>
      </c>
      <c r="H18" s="18"/>
      <c r="I18" s="12">
        <v>1.0</v>
      </c>
      <c r="J18" s="2"/>
      <c r="K18" s="12">
        <v>200.0</v>
      </c>
      <c r="L18" s="12">
        <f t="array" ref="L18">if(D18= "standard", "", if(iserror(index(dilution_factor!$J$2:J387,match(dilution_factor!A18,$C$2:C387,0))),"",index(dilution_factor!$J$2:J387,match(dilution_factor!A18,$C$2:C387,0))))</f>
        <v>4</v>
      </c>
      <c r="M18" s="12">
        <v>20.0</v>
      </c>
      <c r="N18" s="19"/>
      <c r="O18" s="19"/>
      <c r="P18" s="19"/>
      <c r="Q18" s="19"/>
      <c r="R18" s="10" t="s">
        <v>33</v>
      </c>
      <c r="S18" s="10"/>
      <c r="T18" s="10"/>
      <c r="U18" s="10"/>
      <c r="V18" s="14">
        <v>45456.47419259259</v>
      </c>
      <c r="W18" s="4" t="str">
        <f t="shared" si="2"/>
        <v>HP185-17,HP185-20240613,BDF 50uM AA2P scaffolds 1-4, D7 Ind #3,sample,liquid,EXP135,BDF 50uM AA2P scaffolds 1-4, D7 Ind #3,,1,,200,4,20,,,,,DS,,,,06-13-2024</v>
      </c>
      <c r="X18" s="15" t="str">
        <f t="shared" si="3"/>
        <v>HP185-17
BDF 50uM AA2P scaffolds 1-4, D7 Ind #3
12-30-1899</v>
      </c>
      <c r="Y18" s="15" t="str">
        <f t="shared" si="4"/>
        <v/>
      </c>
      <c r="Z18" s="15"/>
      <c r="AA18" s="15"/>
      <c r="AB18" s="15" t="str">
        <f t="shared" si="5"/>
        <v/>
      </c>
    </row>
    <row r="19" ht="15.75" customHeight="1">
      <c r="A19" s="9" t="str">
        <f>IFERROR(__xludf.DUMMYFUNCTION("if(B19="""","""", REGEXEXTRACT(B19,""(.*)-.*"") &amp; ""-"" &amp; COUNTA($B$2:B19))"),"HP185-18")</f>
        <v>HP185-18</v>
      </c>
      <c r="B19" s="10" t="s">
        <v>28</v>
      </c>
      <c r="C19" s="20" t="s">
        <v>50</v>
      </c>
      <c r="D19" s="10" t="s">
        <v>30</v>
      </c>
      <c r="E19" s="10" t="s">
        <v>31</v>
      </c>
      <c r="F19" s="10" t="s">
        <v>32</v>
      </c>
      <c r="G19" s="12" t="str">
        <f t="shared" si="1"/>
        <v>BDF 200uM AA2P scaffolds 1-4, D7 Ind #3</v>
      </c>
      <c r="H19" s="18"/>
      <c r="I19" s="12">
        <v>1.0</v>
      </c>
      <c r="J19" s="2"/>
      <c r="K19" s="12">
        <v>200.0</v>
      </c>
      <c r="L19" s="12">
        <f t="array" ref="L19">if(D19= "standard", "", if(iserror(index(dilution_factor!$J$2:J387,match(dilution_factor!A19,$C$2:C387,0))),"",index(dilution_factor!$J$2:J387,match(dilution_factor!A19,$C$2:C387,0))))</f>
        <v>4</v>
      </c>
      <c r="M19" s="12">
        <v>20.0</v>
      </c>
      <c r="N19" s="19"/>
      <c r="O19" s="19"/>
      <c r="P19" s="19"/>
      <c r="Q19" s="19"/>
      <c r="R19" s="10" t="s">
        <v>33</v>
      </c>
      <c r="S19" s="10"/>
      <c r="T19" s="10"/>
      <c r="U19" s="10"/>
      <c r="V19" s="14">
        <v>45456.47419259259</v>
      </c>
      <c r="W19" s="4" t="str">
        <f t="shared" si="2"/>
        <v>HP185-18,HP185-20240613,BDF 200uM AA2P scaffolds 1-4, D7 Ind #3,sample,liquid,EXP135,BDF 200uM AA2P scaffolds 1-4, D7 Ind #3,,1,,200,4,20,,,,,DS,,,,06-13-2024</v>
      </c>
      <c r="X19" s="15" t="str">
        <f t="shared" si="3"/>
        <v>HP185-18
BDF 200uM AA2P scaffolds 1-4, D7 Ind #3
12-30-1899</v>
      </c>
      <c r="Y19" s="15" t="str">
        <f t="shared" si="4"/>
        <v/>
      </c>
      <c r="Z19" s="15"/>
      <c r="AA19" s="15"/>
      <c r="AB19" s="15" t="str">
        <f t="shared" si="5"/>
        <v/>
      </c>
    </row>
    <row r="20" ht="15.75" customHeight="1">
      <c r="A20" s="9" t="str">
        <f>IFERROR(__xludf.DUMMYFUNCTION("if(B20="""","""", REGEXEXTRACT(B20,""(.*)-.*"") &amp; ""-"" &amp; COUNTA($B$2:B20))"),"HP185-19")</f>
        <v>HP185-19</v>
      </c>
      <c r="B20" s="10" t="s">
        <v>28</v>
      </c>
      <c r="C20" s="20" t="s">
        <v>51</v>
      </c>
      <c r="D20" s="10" t="s">
        <v>30</v>
      </c>
      <c r="E20" s="10" t="s">
        <v>31</v>
      </c>
      <c r="F20" s="10" t="s">
        <v>32</v>
      </c>
      <c r="G20" s="12" t="str">
        <f t="shared" si="1"/>
        <v>BDF 50uM AA2P scaffolds 1-4, D3 Ind #4</v>
      </c>
      <c r="H20" s="18"/>
      <c r="I20" s="12">
        <v>1.0</v>
      </c>
      <c r="J20" s="2"/>
      <c r="K20" s="12">
        <v>200.0</v>
      </c>
      <c r="L20" s="12">
        <f t="array" ref="L20">if(D20= "standard", "", if(iserror(index(dilution_factor!$J$2:J387,match(dilution_factor!A20,$C$2:C387,0))),"",index(dilution_factor!$J$2:J387,match(dilution_factor!A20,$C$2:C387,0))))</f>
        <v>4</v>
      </c>
      <c r="M20" s="12">
        <v>20.0</v>
      </c>
      <c r="N20" s="19"/>
      <c r="O20" s="19"/>
      <c r="P20" s="19"/>
      <c r="Q20" s="19"/>
      <c r="R20" s="10" t="s">
        <v>33</v>
      </c>
      <c r="S20" s="10"/>
      <c r="T20" s="10"/>
      <c r="U20" s="10"/>
      <c r="V20" s="14">
        <v>45456.47419259259</v>
      </c>
      <c r="W20" s="4" t="str">
        <f t="shared" si="2"/>
        <v>HP185-19,HP185-20240613,BDF 50uM AA2P scaffolds 1-4, D3 Ind #4,sample,liquid,EXP135,BDF 50uM AA2P scaffolds 1-4, D3 Ind #4,,1,,200,4,20,,,,,DS,,,,06-13-2024</v>
      </c>
      <c r="X20" s="15" t="str">
        <f t="shared" si="3"/>
        <v>HP185-19
BDF 50uM AA2P scaffolds 1-4, D3 Ind #4
12-30-1899</v>
      </c>
      <c r="Y20" s="15" t="str">
        <f t="shared" si="4"/>
        <v/>
      </c>
      <c r="Z20" s="15"/>
      <c r="AA20" s="15"/>
      <c r="AB20" s="15" t="str">
        <f t="shared" si="5"/>
        <v/>
      </c>
    </row>
    <row r="21" ht="15.75" customHeight="1">
      <c r="A21" s="9" t="str">
        <f>IFERROR(__xludf.DUMMYFUNCTION("if(B21="""","""", REGEXEXTRACT(B21,""(.*)-.*"") &amp; ""-"" &amp; COUNTA($B$2:B21))"),"HP185-20")</f>
        <v>HP185-20</v>
      </c>
      <c r="B21" s="10" t="s">
        <v>28</v>
      </c>
      <c r="C21" s="20" t="s">
        <v>52</v>
      </c>
      <c r="D21" s="10" t="s">
        <v>30</v>
      </c>
      <c r="E21" s="10" t="s">
        <v>31</v>
      </c>
      <c r="F21" s="10" t="s">
        <v>32</v>
      </c>
      <c r="G21" s="12" t="str">
        <f t="shared" si="1"/>
        <v>BDF 200uM AA2P scaffolds 1-4, D3 Ind #4</v>
      </c>
      <c r="H21" s="18"/>
      <c r="I21" s="12">
        <v>1.0</v>
      </c>
      <c r="J21" s="2"/>
      <c r="K21" s="12">
        <v>200.0</v>
      </c>
      <c r="L21" s="12">
        <f t="array" ref="L21">if(D21= "standard", "", if(iserror(index(dilution_factor!$J$2:J387,match(dilution_factor!A21,$C$2:C387,0))),"",index(dilution_factor!$J$2:J387,match(dilution_factor!A21,$C$2:C387,0))))</f>
        <v>4</v>
      </c>
      <c r="M21" s="12">
        <v>20.0</v>
      </c>
      <c r="N21" s="2"/>
      <c r="O21" s="2"/>
      <c r="P21" s="2"/>
      <c r="Q21" s="2"/>
      <c r="R21" s="10" t="s">
        <v>33</v>
      </c>
      <c r="S21" s="10"/>
      <c r="T21" s="10"/>
      <c r="U21" s="10"/>
      <c r="V21" s="14">
        <v>45456.47419259259</v>
      </c>
      <c r="W21" s="4" t="str">
        <f t="shared" si="2"/>
        <v>HP185-20,HP185-20240613,BDF 200uM AA2P scaffolds 1-4, D3 Ind #4,sample,liquid,EXP135,BDF 200uM AA2P scaffolds 1-4, D3 Ind #4,,1,,200,4,20,,,,,DS,,,,06-13-2024</v>
      </c>
      <c r="X21" s="15" t="str">
        <f t="shared" si="3"/>
        <v>HP185-20
BDF 200uM AA2P scaffolds 1-4, D3 Ind #4
12-30-1899</v>
      </c>
      <c r="Y21" s="15" t="str">
        <f t="shared" si="4"/>
        <v/>
      </c>
      <c r="Z21" s="15"/>
      <c r="AA21" s="15"/>
      <c r="AB21" s="15" t="str">
        <f t="shared" si="5"/>
        <v/>
      </c>
    </row>
    <row r="22" ht="15.75" customHeight="1">
      <c r="A22" s="9" t="str">
        <f>IFERROR(__xludf.DUMMYFUNCTION("if(B22="""","""", REGEXEXTRACT(B22,""(.*)-.*"") &amp; ""-"" &amp; COUNTA($B$2:B22))"),"HP185-21")</f>
        <v>HP185-21</v>
      </c>
      <c r="B22" s="10" t="s">
        <v>28</v>
      </c>
      <c r="C22" s="20" t="s">
        <v>53</v>
      </c>
      <c r="D22" s="10" t="s">
        <v>30</v>
      </c>
      <c r="E22" s="10" t="s">
        <v>31</v>
      </c>
      <c r="F22" s="10" t="s">
        <v>32</v>
      </c>
      <c r="G22" s="12" t="str">
        <f t="shared" si="1"/>
        <v>BDF 50uM AA2P scaffolds 1-4, D5 Ind #4</v>
      </c>
      <c r="H22" s="18"/>
      <c r="I22" s="12">
        <v>1.0</v>
      </c>
      <c r="J22" s="2"/>
      <c r="K22" s="12">
        <v>200.0</v>
      </c>
      <c r="L22" s="12">
        <f t="array" ref="L22">if(D22= "standard", "", if(iserror(index(dilution_factor!$J$2:J387,match(dilution_factor!A22,$C$2:C387,0))),"",index(dilution_factor!$J$2:J387,match(dilution_factor!A22,$C$2:C387,0))))</f>
        <v>4</v>
      </c>
      <c r="M22" s="12">
        <v>20.0</v>
      </c>
      <c r="N22" s="2"/>
      <c r="O22" s="2"/>
      <c r="P22" s="2"/>
      <c r="Q22" s="2"/>
      <c r="R22" s="10" t="s">
        <v>33</v>
      </c>
      <c r="S22" s="10"/>
      <c r="T22" s="10"/>
      <c r="U22" s="10"/>
      <c r="V22" s="14">
        <v>45456.47419259259</v>
      </c>
      <c r="W22" s="4" t="str">
        <f t="shared" si="2"/>
        <v>HP185-21,HP185-20240613,BDF 50uM AA2P scaffolds 1-4, D5 Ind #4,sample,liquid,EXP135,BDF 50uM AA2P scaffolds 1-4, D5 Ind #4,,1,,200,4,20,,,,,DS,,,,06-13-2024</v>
      </c>
      <c r="X22" s="15" t="str">
        <f t="shared" si="3"/>
        <v>HP185-21
BDF 50uM AA2P scaffolds 1-4, D5 Ind #4
12-30-1899</v>
      </c>
      <c r="Y22" s="15" t="str">
        <f t="shared" si="4"/>
        <v/>
      </c>
      <c r="Z22" s="15"/>
      <c r="AA22" s="15"/>
      <c r="AB22" s="15" t="str">
        <f t="shared" si="5"/>
        <v/>
      </c>
    </row>
    <row r="23" ht="15.75" customHeight="1">
      <c r="A23" s="9" t="str">
        <f>IFERROR(__xludf.DUMMYFUNCTION("if(B23="""","""", REGEXEXTRACT(B23,""(.*)-.*"") &amp; ""-"" &amp; COUNTA($B$2:B23))"),"HP185-22")</f>
        <v>HP185-22</v>
      </c>
      <c r="B23" s="10" t="s">
        <v>28</v>
      </c>
      <c r="C23" s="20" t="s">
        <v>54</v>
      </c>
      <c r="D23" s="10" t="s">
        <v>30</v>
      </c>
      <c r="E23" s="10" t="s">
        <v>31</v>
      </c>
      <c r="F23" s="10" t="s">
        <v>32</v>
      </c>
      <c r="G23" s="12" t="str">
        <f t="shared" si="1"/>
        <v>BDF 200uM AA2P scaffolds 1-4, D5 Ind #4</v>
      </c>
      <c r="H23" s="18"/>
      <c r="I23" s="12">
        <v>1.0</v>
      </c>
      <c r="J23" s="2"/>
      <c r="K23" s="12">
        <v>200.0</v>
      </c>
      <c r="L23" s="12">
        <f t="array" ref="L23">if(D23= "standard", "", if(iserror(index(dilution_factor!$J$2:J387,match(dilution_factor!A23,$C$2:C387,0))),"",index(dilution_factor!$J$2:J387,match(dilution_factor!A23,$C$2:C387,0))))</f>
        <v>4</v>
      </c>
      <c r="M23" s="12">
        <v>20.0</v>
      </c>
      <c r="N23" s="2"/>
      <c r="O23" s="2"/>
      <c r="P23" s="2"/>
      <c r="Q23" s="2"/>
      <c r="R23" s="10" t="s">
        <v>33</v>
      </c>
      <c r="S23" s="10"/>
      <c r="T23" s="10"/>
      <c r="U23" s="10"/>
      <c r="V23" s="14">
        <v>45456.47419259259</v>
      </c>
      <c r="W23" s="4" t="str">
        <f t="shared" si="2"/>
        <v>HP185-22,HP185-20240613,BDF 200uM AA2P scaffolds 1-4, D5 Ind #4,sample,liquid,EXP135,BDF 200uM AA2P scaffolds 1-4, D5 Ind #4,,1,,200,4,20,,,,,DS,,,,06-13-2024</v>
      </c>
      <c r="X23" s="15" t="str">
        <f t="shared" si="3"/>
        <v>HP185-22
BDF 200uM AA2P scaffolds 1-4, D5 Ind #4
12-30-1899</v>
      </c>
      <c r="Y23" s="15" t="str">
        <f t="shared" si="4"/>
        <v/>
      </c>
      <c r="Z23" s="15"/>
      <c r="AA23" s="15"/>
      <c r="AB23" s="15" t="str">
        <f t="shared" si="5"/>
        <v/>
      </c>
    </row>
    <row r="24" ht="15.75" customHeight="1">
      <c r="A24" s="9" t="str">
        <f>IFERROR(__xludf.DUMMYFUNCTION("if(B24="""","""", REGEXEXTRACT(B24,""(.*)-.*"") &amp; ""-"" &amp; COUNTA($B$2:B24))"),"HP185-23")</f>
        <v>HP185-23</v>
      </c>
      <c r="B24" s="10" t="s">
        <v>28</v>
      </c>
      <c r="C24" s="20" t="s">
        <v>55</v>
      </c>
      <c r="D24" s="10" t="s">
        <v>30</v>
      </c>
      <c r="E24" s="10" t="s">
        <v>31</v>
      </c>
      <c r="F24" s="10" t="s">
        <v>32</v>
      </c>
      <c r="G24" s="12" t="str">
        <f t="shared" si="1"/>
        <v>BDF 50uM AA2P scaffolds 1-4, D7 Ind #4</v>
      </c>
      <c r="H24" s="17"/>
      <c r="I24" s="12">
        <v>1.0</v>
      </c>
      <c r="J24" s="16"/>
      <c r="K24" s="12">
        <v>200.0</v>
      </c>
      <c r="L24" s="12">
        <f t="array" ref="L24">if(D24= "standard", "", if(iserror(index(dilution_factor!$J$2:J387,match(dilution_factor!A24,$C$2:C387,0))),"",index(dilution_factor!$J$2:J387,match(dilution_factor!A24,$C$2:C387,0))))</f>
        <v>4</v>
      </c>
      <c r="M24" s="12">
        <v>20.0</v>
      </c>
      <c r="N24" s="16"/>
      <c r="O24" s="16"/>
      <c r="P24" s="16"/>
      <c r="Q24" s="16"/>
      <c r="R24" s="10" t="s">
        <v>33</v>
      </c>
      <c r="S24" s="10"/>
      <c r="T24" s="10"/>
      <c r="U24" s="10"/>
      <c r="V24" s="14">
        <v>45456.47419259259</v>
      </c>
      <c r="W24" s="4" t="str">
        <f t="shared" si="2"/>
        <v>HP185-23,HP185-20240613,BDF 50uM AA2P scaffolds 1-4, D7 Ind #4,sample,liquid,EXP135,BDF 50uM AA2P scaffolds 1-4, D7 Ind #4,,1,,200,4,20,,,,,DS,,,,06-13-2024</v>
      </c>
      <c r="X24" s="15" t="str">
        <f t="shared" si="3"/>
        <v>HP185-23
BDF 50uM AA2P scaffolds 1-4, D7 Ind #4
12-30-1899</v>
      </c>
      <c r="Y24" s="15" t="str">
        <f t="shared" si="4"/>
        <v/>
      </c>
      <c r="Z24" s="15"/>
      <c r="AA24" s="15"/>
      <c r="AB24" s="15" t="str">
        <f t="shared" si="5"/>
        <v/>
      </c>
    </row>
    <row r="25" ht="15.75" customHeight="1">
      <c r="A25" s="9" t="str">
        <f>IFERROR(__xludf.DUMMYFUNCTION("if(B25="""","""", REGEXEXTRACT(B25,""(.*)-.*"") &amp; ""-"" &amp; COUNTA($B$2:B25))"),"HP185-24")</f>
        <v>HP185-24</v>
      </c>
      <c r="B25" s="10" t="s">
        <v>28</v>
      </c>
      <c r="C25" s="20" t="s">
        <v>56</v>
      </c>
      <c r="D25" s="10" t="s">
        <v>30</v>
      </c>
      <c r="E25" s="10" t="s">
        <v>31</v>
      </c>
      <c r="F25" s="10" t="s">
        <v>32</v>
      </c>
      <c r="G25" s="12" t="str">
        <f t="shared" si="1"/>
        <v>BDF 200uM AA2P scaffolds 1-4, D7 Ind #4</v>
      </c>
      <c r="H25" s="17"/>
      <c r="I25" s="12">
        <v>1.0</v>
      </c>
      <c r="J25" s="16"/>
      <c r="K25" s="12">
        <v>200.0</v>
      </c>
      <c r="L25" s="12">
        <f t="array" ref="L25">if(D25= "standard", "", if(iserror(index(dilution_factor!$J$2:J387,match(dilution_factor!A25,$C$2:C387,0))),"",index(dilution_factor!$J$2:J387,match(dilution_factor!A25,$C$2:C387,0))))</f>
        <v>4</v>
      </c>
      <c r="M25" s="12">
        <v>20.0</v>
      </c>
      <c r="N25" s="16"/>
      <c r="O25" s="16"/>
      <c r="P25" s="16"/>
      <c r="Q25" s="16"/>
      <c r="R25" s="10" t="s">
        <v>33</v>
      </c>
      <c r="S25" s="10"/>
      <c r="T25" s="10"/>
      <c r="U25" s="10"/>
      <c r="V25" s="14">
        <v>45456.47419259259</v>
      </c>
      <c r="W25" s="4" t="str">
        <f t="shared" si="2"/>
        <v>HP185-24,HP185-20240613,BDF 200uM AA2P scaffolds 1-4, D7 Ind #4,sample,liquid,EXP135,BDF 200uM AA2P scaffolds 1-4, D7 Ind #4,,1,,200,4,20,,,,,DS,,,,06-13-2024</v>
      </c>
      <c r="X25" s="15" t="str">
        <f t="shared" si="3"/>
        <v>HP185-24
BDF 200uM AA2P scaffolds 1-4, D7 Ind #4
12-30-1899</v>
      </c>
      <c r="Y25" s="15" t="str">
        <f t="shared" si="4"/>
        <v/>
      </c>
      <c r="Z25" s="15"/>
      <c r="AA25" s="15"/>
      <c r="AB25" s="15" t="str">
        <f t="shared" si="5"/>
        <v/>
      </c>
    </row>
    <row r="26" ht="15.75" customHeight="1">
      <c r="A26" s="9" t="str">
        <f>IFERROR(__xludf.DUMMYFUNCTION("if(B26="""","""", REGEXEXTRACT(B26,""(.*)-.*"") &amp; ""-"" &amp; COUNTA($B$2:B26))"),"HP185-25")</f>
        <v>HP185-25</v>
      </c>
      <c r="B26" s="10" t="s">
        <v>28</v>
      </c>
      <c r="C26" s="20" t="s">
        <v>57</v>
      </c>
      <c r="D26" s="10" t="s">
        <v>30</v>
      </c>
      <c r="E26" s="10" t="s">
        <v>31</v>
      </c>
      <c r="F26" s="10" t="s">
        <v>32</v>
      </c>
      <c r="G26" s="12" t="str">
        <f t="shared" si="1"/>
        <v>BDF 100uM AA2P scaffolds 1-4, D3 Ind #1</v>
      </c>
      <c r="H26" s="17"/>
      <c r="I26" s="12">
        <v>1.0</v>
      </c>
      <c r="J26" s="16"/>
      <c r="K26" s="12">
        <v>200.0</v>
      </c>
      <c r="L26" s="12">
        <f t="array" ref="L26">if(D26= "standard", "", if(iserror(index(dilution_factor!$J$2:J387,match(dilution_factor!A26,$C$2:C387,0))),"",index(dilution_factor!$J$2:J387,match(dilution_factor!A26,$C$2:C387,0))))</f>
        <v>4</v>
      </c>
      <c r="M26" s="12">
        <v>20.0</v>
      </c>
      <c r="N26" s="16"/>
      <c r="O26" s="16"/>
      <c r="P26" s="16"/>
      <c r="Q26" s="16"/>
      <c r="R26" s="10" t="s">
        <v>33</v>
      </c>
      <c r="S26" s="10"/>
      <c r="T26" s="10"/>
      <c r="U26" s="10"/>
      <c r="V26" s="14">
        <v>45456.47419259259</v>
      </c>
      <c r="W26" s="4" t="str">
        <f t="shared" si="2"/>
        <v>HP185-25,HP185-20240613,BDF 100uM AA2P scaffolds 1-4, D3 Ind #1,sample,liquid,EXP135,BDF 100uM AA2P scaffolds 1-4, D3 Ind #1,,1,,200,4,20,,,,,DS,,,,06-13-2024</v>
      </c>
      <c r="X26" s="15" t="str">
        <f t="shared" si="3"/>
        <v>HP185-25
BDF 100uM AA2P scaffolds 1-4, D3 Ind #1
12-30-1899</v>
      </c>
      <c r="Y26" s="15" t="str">
        <f t="shared" si="4"/>
        <v/>
      </c>
      <c r="Z26" s="15"/>
      <c r="AA26" s="15"/>
      <c r="AB26" s="15" t="str">
        <f t="shared" si="5"/>
        <v/>
      </c>
    </row>
    <row r="27" ht="15.75" customHeight="1">
      <c r="A27" s="9" t="str">
        <f>IFERROR(__xludf.DUMMYFUNCTION("if(B27="""","""", REGEXEXTRACT(B27,""(.*)-.*"") &amp; ""-"" &amp; COUNTA($B$2:B27))"),"HP185-26")</f>
        <v>HP185-26</v>
      </c>
      <c r="B27" s="10" t="s">
        <v>28</v>
      </c>
      <c r="C27" s="20" t="s">
        <v>58</v>
      </c>
      <c r="D27" s="10" t="s">
        <v>30</v>
      </c>
      <c r="E27" s="10" t="s">
        <v>31</v>
      </c>
      <c r="F27" s="10" t="s">
        <v>32</v>
      </c>
      <c r="G27" s="12" t="str">
        <f t="shared" si="1"/>
        <v>BDF 250uM AA2P scaffolds 1-4, D3 Ind #1</v>
      </c>
      <c r="H27" s="17"/>
      <c r="I27" s="12">
        <v>1.0</v>
      </c>
      <c r="J27" s="16"/>
      <c r="K27" s="12">
        <v>200.0</v>
      </c>
      <c r="L27" s="12">
        <f t="array" ref="L27">if(D27= "standard", "", if(iserror(index(dilution_factor!$J$2:J387,match(dilution_factor!A27,$C$2:C387,0))),"",index(dilution_factor!$J$2:J387,match(dilution_factor!A27,$C$2:C387,0))))</f>
        <v>4</v>
      </c>
      <c r="M27" s="12">
        <v>20.0</v>
      </c>
      <c r="N27" s="16"/>
      <c r="O27" s="16"/>
      <c r="P27" s="16"/>
      <c r="Q27" s="16"/>
      <c r="R27" s="10" t="s">
        <v>33</v>
      </c>
      <c r="S27" s="10"/>
      <c r="T27" s="10"/>
      <c r="U27" s="10"/>
      <c r="V27" s="14">
        <v>45456.47419259259</v>
      </c>
      <c r="W27" s="4" t="str">
        <f t="shared" si="2"/>
        <v>HP185-26,HP185-20240613,BDF 250uM AA2P scaffolds 1-4, D3 Ind #1,sample,liquid,EXP135,BDF 250uM AA2P scaffolds 1-4, D3 Ind #1,,1,,200,4,20,,,,,DS,,,,06-13-2024</v>
      </c>
      <c r="X27" s="15" t="str">
        <f t="shared" si="3"/>
        <v>HP185-26
BDF 250uM AA2P scaffolds 1-4, D3 Ind #1
12-30-1899</v>
      </c>
      <c r="Y27" s="15" t="str">
        <f t="shared" si="4"/>
        <v/>
      </c>
      <c r="Z27" s="15"/>
      <c r="AA27" s="15"/>
      <c r="AB27" s="15" t="str">
        <f t="shared" si="5"/>
        <v/>
      </c>
    </row>
    <row r="28" ht="15.75" customHeight="1">
      <c r="A28" s="9" t="str">
        <f>IFERROR(__xludf.DUMMYFUNCTION("if(B28="""","""", REGEXEXTRACT(B28,""(.*)-.*"") &amp; ""-"" &amp; COUNTA($B$2:B28))"),"HP185-27")</f>
        <v>HP185-27</v>
      </c>
      <c r="B28" s="10" t="s">
        <v>28</v>
      </c>
      <c r="C28" s="20" t="s">
        <v>59</v>
      </c>
      <c r="D28" s="10" t="s">
        <v>30</v>
      </c>
      <c r="E28" s="10" t="s">
        <v>31</v>
      </c>
      <c r="F28" s="10" t="s">
        <v>32</v>
      </c>
      <c r="G28" s="12" t="str">
        <f t="shared" si="1"/>
        <v>BDF 100uM AA2P scaffolds 1-4, D5 Ind #1</v>
      </c>
      <c r="H28" s="17"/>
      <c r="I28" s="12">
        <v>1.0</v>
      </c>
      <c r="J28" s="16"/>
      <c r="K28" s="12">
        <v>200.0</v>
      </c>
      <c r="L28" s="12">
        <f t="array" ref="L28">if(D28= "standard", "", if(iserror(index(dilution_factor!$J$2:J387,match(dilution_factor!A28,$C$2:C387,0))),"",index(dilution_factor!$J$2:J387,match(dilution_factor!A28,$C$2:C387,0))))</f>
        <v>4</v>
      </c>
      <c r="M28" s="12">
        <v>20.0</v>
      </c>
      <c r="N28" s="16"/>
      <c r="O28" s="16"/>
      <c r="P28" s="16"/>
      <c r="Q28" s="16"/>
      <c r="R28" s="10" t="s">
        <v>33</v>
      </c>
      <c r="S28" s="10"/>
      <c r="T28" s="10"/>
      <c r="U28" s="10"/>
      <c r="V28" s="14">
        <v>45456.47419259259</v>
      </c>
      <c r="W28" s="4" t="str">
        <f t="shared" si="2"/>
        <v>HP185-27,HP185-20240613,BDF 100uM AA2P scaffolds 1-4, D5 Ind #1,sample,liquid,EXP135,BDF 100uM AA2P scaffolds 1-4, D5 Ind #1,,1,,200,4,20,,,,,DS,,,,06-13-2024</v>
      </c>
      <c r="X28" s="15" t="str">
        <f t="shared" si="3"/>
        <v>HP185-27
BDF 100uM AA2P scaffolds 1-4, D5 Ind #1
12-30-1899</v>
      </c>
      <c r="Y28" s="15" t="str">
        <f t="shared" si="4"/>
        <v/>
      </c>
      <c r="Z28" s="15"/>
      <c r="AA28" s="15"/>
      <c r="AB28" s="15" t="str">
        <f t="shared" si="5"/>
        <v/>
      </c>
    </row>
    <row r="29" ht="15.75" customHeight="1">
      <c r="A29" s="9" t="str">
        <f>IFERROR(__xludf.DUMMYFUNCTION("if(B29="""","""", REGEXEXTRACT(B29,""(.*)-.*"") &amp; ""-"" &amp; COUNTA($B$2:B29))"),"HP185-28")</f>
        <v>HP185-28</v>
      </c>
      <c r="B29" s="10" t="s">
        <v>28</v>
      </c>
      <c r="C29" s="20" t="s">
        <v>60</v>
      </c>
      <c r="D29" s="10" t="s">
        <v>30</v>
      </c>
      <c r="E29" s="10" t="s">
        <v>31</v>
      </c>
      <c r="F29" s="10" t="s">
        <v>32</v>
      </c>
      <c r="G29" s="12" t="str">
        <f t="shared" si="1"/>
        <v>BDF 250uM AA2P scaffolds 1-4, D5 Ind #1</v>
      </c>
      <c r="H29" s="17"/>
      <c r="I29" s="12">
        <v>1.0</v>
      </c>
      <c r="J29" s="16"/>
      <c r="K29" s="12">
        <v>200.0</v>
      </c>
      <c r="L29" s="12">
        <f t="array" ref="L29">if(D29= "standard", "", if(iserror(index(dilution_factor!$J$2:J387,match(dilution_factor!A29,$C$2:C387,0))),"",index(dilution_factor!$J$2:J387,match(dilution_factor!A29,$C$2:C387,0))))</f>
        <v>4</v>
      </c>
      <c r="M29" s="12">
        <v>20.0</v>
      </c>
      <c r="N29" s="16"/>
      <c r="O29" s="16"/>
      <c r="P29" s="16"/>
      <c r="Q29" s="16"/>
      <c r="R29" s="10" t="s">
        <v>33</v>
      </c>
      <c r="S29" s="10"/>
      <c r="T29" s="10"/>
      <c r="U29" s="10"/>
      <c r="V29" s="14">
        <v>45456.47419259259</v>
      </c>
      <c r="W29" s="4" t="str">
        <f t="shared" si="2"/>
        <v>HP185-28,HP185-20240613,BDF 250uM AA2P scaffolds 1-4, D5 Ind #1,sample,liquid,EXP135,BDF 250uM AA2P scaffolds 1-4, D5 Ind #1,,1,,200,4,20,,,,,DS,,,,06-13-2024</v>
      </c>
      <c r="X29" s="15" t="str">
        <f t="shared" si="3"/>
        <v>HP185-28
BDF 250uM AA2P scaffolds 1-4, D5 Ind #1
12-30-1899</v>
      </c>
      <c r="Y29" s="15" t="str">
        <f t="shared" si="4"/>
        <v/>
      </c>
      <c r="Z29" s="15"/>
      <c r="AA29" s="15"/>
      <c r="AB29" s="15" t="str">
        <f t="shared" si="5"/>
        <v/>
      </c>
    </row>
    <row r="30" ht="15.75" customHeight="1">
      <c r="A30" s="9" t="str">
        <f>IFERROR(__xludf.DUMMYFUNCTION("if(B30="""","""", REGEXEXTRACT(B30,""(.*)-.*"") &amp; ""-"" &amp; COUNTA($B$2:B30))"),"HP185-29")</f>
        <v>HP185-29</v>
      </c>
      <c r="B30" s="10" t="s">
        <v>28</v>
      </c>
      <c r="C30" s="20" t="s">
        <v>61</v>
      </c>
      <c r="D30" s="10" t="s">
        <v>30</v>
      </c>
      <c r="E30" s="10" t="s">
        <v>31</v>
      </c>
      <c r="F30" s="10" t="s">
        <v>32</v>
      </c>
      <c r="G30" s="12" t="str">
        <f t="shared" si="1"/>
        <v>BDF 100uM AA2P scaffolds 1-4, D7 Ind #1</v>
      </c>
      <c r="H30" s="17"/>
      <c r="I30" s="12">
        <v>1.0</v>
      </c>
      <c r="J30" s="16"/>
      <c r="K30" s="12">
        <v>200.0</v>
      </c>
      <c r="L30" s="12">
        <f t="array" ref="L30">if(D30= "standard", "", if(iserror(index(dilution_factor!$J$2:J387,match(dilution_factor!A30,$C$2:C387,0))),"",index(dilution_factor!$J$2:J387,match(dilution_factor!A30,$C$2:C387,0))))</f>
        <v>4</v>
      </c>
      <c r="M30" s="12">
        <v>20.0</v>
      </c>
      <c r="N30" s="16"/>
      <c r="O30" s="16"/>
      <c r="P30" s="16"/>
      <c r="Q30" s="16"/>
      <c r="R30" s="10" t="s">
        <v>33</v>
      </c>
      <c r="S30" s="10"/>
      <c r="T30" s="10"/>
      <c r="U30" s="10"/>
      <c r="V30" s="14">
        <v>45456.47419259259</v>
      </c>
      <c r="W30" s="4" t="str">
        <f t="shared" si="2"/>
        <v>HP185-29,HP185-20240613,BDF 100uM AA2P scaffolds 1-4, D7 Ind #1,sample,liquid,EXP135,BDF 100uM AA2P scaffolds 1-4, D7 Ind #1,,1,,200,4,20,,,,,DS,,,,06-13-2024</v>
      </c>
      <c r="X30" s="15" t="str">
        <f t="shared" si="3"/>
        <v>HP185-29
BDF 100uM AA2P scaffolds 1-4, D7 Ind #1
12-30-1899</v>
      </c>
      <c r="Y30" s="15" t="str">
        <f t="shared" si="4"/>
        <v/>
      </c>
      <c r="Z30" s="15"/>
      <c r="AA30" s="15"/>
      <c r="AB30" s="15" t="str">
        <f t="shared" si="5"/>
        <v/>
      </c>
    </row>
    <row r="31" ht="15.75" customHeight="1">
      <c r="A31" s="9" t="str">
        <f>IFERROR(__xludf.DUMMYFUNCTION("if(B31="""","""", REGEXEXTRACT(B31,""(.*)-.*"") &amp; ""-"" &amp; COUNTA($B$2:B31))"),"HP185-30")</f>
        <v>HP185-30</v>
      </c>
      <c r="B31" s="10" t="s">
        <v>28</v>
      </c>
      <c r="C31" s="20" t="s">
        <v>62</v>
      </c>
      <c r="D31" s="10" t="s">
        <v>30</v>
      </c>
      <c r="E31" s="10" t="s">
        <v>31</v>
      </c>
      <c r="F31" s="10" t="s">
        <v>32</v>
      </c>
      <c r="G31" s="12" t="str">
        <f t="shared" si="1"/>
        <v>BDF 250uM AA2P scaffolds 1-4, D7 Ind #1</v>
      </c>
      <c r="H31" s="17"/>
      <c r="I31" s="12">
        <v>1.0</v>
      </c>
      <c r="J31" s="16"/>
      <c r="K31" s="12">
        <v>200.0</v>
      </c>
      <c r="L31" s="12">
        <f t="array" ref="L31">if(D31= "standard", "", if(iserror(index(dilution_factor!$J$2:J387,match(dilution_factor!A31,$C$2:C387,0))),"",index(dilution_factor!$J$2:J387,match(dilution_factor!A31,$C$2:C387,0))))</f>
        <v>4</v>
      </c>
      <c r="M31" s="12">
        <v>20.0</v>
      </c>
      <c r="N31" s="16"/>
      <c r="O31" s="16"/>
      <c r="P31" s="16"/>
      <c r="Q31" s="16"/>
      <c r="R31" s="10" t="s">
        <v>33</v>
      </c>
      <c r="S31" s="10"/>
      <c r="T31" s="10"/>
      <c r="U31" s="10"/>
      <c r="V31" s="14">
        <v>45456.47419259259</v>
      </c>
      <c r="W31" s="4" t="str">
        <f t="shared" si="2"/>
        <v>HP185-30,HP185-20240613,BDF 250uM AA2P scaffolds 1-4, D7 Ind #1,sample,liquid,EXP135,BDF 250uM AA2P scaffolds 1-4, D7 Ind #1,,1,,200,4,20,,,,,DS,,,,06-13-2024</v>
      </c>
      <c r="X31" s="15" t="str">
        <f t="shared" si="3"/>
        <v>HP185-30
BDF 250uM AA2P scaffolds 1-4, D7 Ind #1
12-30-1899</v>
      </c>
      <c r="Y31" s="15" t="str">
        <f t="shared" si="4"/>
        <v/>
      </c>
      <c r="Z31" s="15"/>
      <c r="AA31" s="15"/>
      <c r="AB31" s="15" t="str">
        <f t="shared" si="5"/>
        <v/>
      </c>
    </row>
    <row r="32" ht="15.75" customHeight="1">
      <c r="A32" s="9" t="str">
        <f>IFERROR(__xludf.DUMMYFUNCTION("if(B32="""","""", REGEXEXTRACT(B32,""(.*)-.*"") &amp; ""-"" &amp; COUNTA($B$2:B32))"),"HP185-31")</f>
        <v>HP185-31</v>
      </c>
      <c r="B32" s="10" t="s">
        <v>28</v>
      </c>
      <c r="C32" s="20" t="s">
        <v>63</v>
      </c>
      <c r="D32" s="10" t="s">
        <v>30</v>
      </c>
      <c r="E32" s="10" t="s">
        <v>31</v>
      </c>
      <c r="F32" s="10" t="s">
        <v>32</v>
      </c>
      <c r="G32" s="12" t="str">
        <f t="shared" si="1"/>
        <v>BDF 100uM AA2P scaffolds 1-4, D3 Ind #2</v>
      </c>
      <c r="H32" s="17"/>
      <c r="I32" s="12">
        <v>1.0</v>
      </c>
      <c r="J32" s="16"/>
      <c r="K32" s="12">
        <v>200.0</v>
      </c>
      <c r="L32" s="12">
        <f t="array" ref="L32">if(D32= "standard", "", if(iserror(index(dilution_factor!$J$2:J387,match(dilution_factor!A32,$C$2:C387,0))),"",index(dilution_factor!$J$2:J387,match(dilution_factor!A32,$C$2:C387,0))))</f>
        <v>4</v>
      </c>
      <c r="M32" s="12">
        <v>20.0</v>
      </c>
      <c r="N32" s="16"/>
      <c r="O32" s="16"/>
      <c r="P32" s="16"/>
      <c r="Q32" s="16"/>
      <c r="R32" s="10" t="s">
        <v>33</v>
      </c>
      <c r="S32" s="10"/>
      <c r="T32" s="10"/>
      <c r="U32" s="10"/>
      <c r="V32" s="14">
        <v>45456.47419259259</v>
      </c>
      <c r="W32" s="4" t="str">
        <f t="shared" si="2"/>
        <v>HP185-31,HP185-20240613,BDF 100uM AA2P scaffolds 1-4, D3 Ind #2,sample,liquid,EXP135,BDF 100uM AA2P scaffolds 1-4, D3 Ind #2,,1,,200,4,20,,,,,DS,,,,06-13-2024</v>
      </c>
      <c r="X32" s="15" t="str">
        <f t="shared" si="3"/>
        <v>HP185-31
BDF 100uM AA2P scaffolds 1-4, D3 Ind #2
12-30-1899</v>
      </c>
      <c r="Y32" s="15" t="str">
        <f t="shared" si="4"/>
        <v/>
      </c>
      <c r="Z32" s="15"/>
      <c r="AA32" s="15"/>
      <c r="AB32" s="15" t="str">
        <f t="shared" si="5"/>
        <v/>
      </c>
    </row>
    <row r="33" ht="15.75" customHeight="1">
      <c r="A33" s="9" t="str">
        <f>IFERROR(__xludf.DUMMYFUNCTION("if(B33="""","""", REGEXEXTRACT(B33,""(.*)-.*"") &amp; ""-"" &amp; COUNTA($B$2:B33))"),"HP185-32")</f>
        <v>HP185-32</v>
      </c>
      <c r="B33" s="10" t="s">
        <v>28</v>
      </c>
      <c r="C33" s="20" t="s">
        <v>64</v>
      </c>
      <c r="D33" s="10" t="s">
        <v>30</v>
      </c>
      <c r="E33" s="10" t="s">
        <v>31</v>
      </c>
      <c r="F33" s="10" t="s">
        <v>32</v>
      </c>
      <c r="G33" s="12" t="str">
        <f t="shared" si="1"/>
        <v>BDF 250uM AA2P scaffolds 1-4, D3 Ind #2</v>
      </c>
      <c r="H33" s="17"/>
      <c r="I33" s="12">
        <v>1.0</v>
      </c>
      <c r="J33" s="16"/>
      <c r="K33" s="12">
        <v>200.0</v>
      </c>
      <c r="L33" s="12">
        <f t="array" ref="L33">if(D33= "standard", "", if(iserror(index(dilution_factor!$J$2:J387,match(dilution_factor!A33,$C$2:C387,0))),"",index(dilution_factor!$J$2:J387,match(dilution_factor!A33,$C$2:C387,0))))</f>
        <v>4</v>
      </c>
      <c r="M33" s="12">
        <v>20.0</v>
      </c>
      <c r="N33" s="16"/>
      <c r="O33" s="16"/>
      <c r="P33" s="16"/>
      <c r="Q33" s="16"/>
      <c r="R33" s="10" t="s">
        <v>33</v>
      </c>
      <c r="S33" s="10"/>
      <c r="T33" s="10"/>
      <c r="U33" s="10"/>
      <c r="V33" s="14">
        <v>45456.47419259259</v>
      </c>
      <c r="W33" s="4" t="str">
        <f t="shared" si="2"/>
        <v>HP185-32,HP185-20240613,BDF 250uM AA2P scaffolds 1-4, D3 Ind #2,sample,liquid,EXP135,BDF 250uM AA2P scaffolds 1-4, D3 Ind #2,,1,,200,4,20,,,,,DS,,,,06-13-2024</v>
      </c>
      <c r="X33" s="15" t="str">
        <f t="shared" si="3"/>
        <v>HP185-32
BDF 250uM AA2P scaffolds 1-4, D3 Ind #2
12-30-1899</v>
      </c>
      <c r="Y33" s="15" t="str">
        <f t="shared" si="4"/>
        <v/>
      </c>
      <c r="Z33" s="15"/>
      <c r="AA33" s="15"/>
      <c r="AB33" s="15" t="str">
        <f t="shared" si="5"/>
        <v/>
      </c>
    </row>
    <row r="34" ht="15.75" customHeight="1">
      <c r="A34" s="9" t="str">
        <f>IFERROR(__xludf.DUMMYFUNCTION("if(B34="""","""", REGEXEXTRACT(B34,""(.*)-.*"") &amp; ""-"" &amp; COUNTA($B$2:B34))"),"HP185-33")</f>
        <v>HP185-33</v>
      </c>
      <c r="B34" s="10" t="s">
        <v>28</v>
      </c>
      <c r="C34" s="20" t="s">
        <v>65</v>
      </c>
      <c r="D34" s="10" t="s">
        <v>30</v>
      </c>
      <c r="E34" s="10" t="s">
        <v>31</v>
      </c>
      <c r="F34" s="10" t="s">
        <v>32</v>
      </c>
      <c r="G34" s="12" t="str">
        <f t="shared" si="1"/>
        <v>BDF 100uM AA2P scaffolds 1-4, D5 Ind #2</v>
      </c>
      <c r="H34" s="18"/>
      <c r="I34" s="12">
        <v>1.0</v>
      </c>
      <c r="J34" s="2"/>
      <c r="K34" s="12">
        <v>200.0</v>
      </c>
      <c r="L34" s="12">
        <f t="array" ref="L34">if(D34= "standard", "", if(iserror(index(dilution_factor!$J$2:J387,match(dilution_factor!A34,$C$2:C387,0))),"",index(dilution_factor!$J$2:J387,match(dilution_factor!A34,$C$2:C387,0))))</f>
        <v>4</v>
      </c>
      <c r="M34" s="12">
        <v>20.0</v>
      </c>
      <c r="N34" s="19"/>
      <c r="O34" s="19"/>
      <c r="P34" s="19"/>
      <c r="Q34" s="19"/>
      <c r="R34" s="10" t="s">
        <v>33</v>
      </c>
      <c r="S34" s="10"/>
      <c r="T34" s="10"/>
      <c r="U34" s="10"/>
      <c r="V34" s="14">
        <v>45456.47419259259</v>
      </c>
      <c r="W34" s="4" t="str">
        <f t="shared" si="2"/>
        <v>HP185-33,HP185-20240613,BDF 100uM AA2P scaffolds 1-4, D5 Ind #2,sample,liquid,EXP135,BDF 100uM AA2P scaffolds 1-4, D5 Ind #2,,1,,200,4,20,,,,,DS,,,,06-13-2024</v>
      </c>
      <c r="X34" s="15" t="str">
        <f t="shared" si="3"/>
        <v>HP185-33
BDF 100uM AA2P scaffolds 1-4, D5 Ind #2
12-30-1899</v>
      </c>
      <c r="Y34" s="15" t="str">
        <f t="shared" si="4"/>
        <v/>
      </c>
      <c r="Z34" s="15"/>
      <c r="AA34" s="15"/>
      <c r="AB34" s="15" t="str">
        <f t="shared" si="5"/>
        <v/>
      </c>
    </row>
    <row r="35" ht="15.75" customHeight="1">
      <c r="A35" s="9" t="str">
        <f>IFERROR(__xludf.DUMMYFUNCTION("if(B35="""","""", REGEXEXTRACT(B35,""(.*)-.*"") &amp; ""-"" &amp; COUNTA($B$2:B35))"),"HP185-34")</f>
        <v>HP185-34</v>
      </c>
      <c r="B35" s="10" t="s">
        <v>28</v>
      </c>
      <c r="C35" s="20" t="s">
        <v>66</v>
      </c>
      <c r="D35" s="10" t="s">
        <v>30</v>
      </c>
      <c r="E35" s="10" t="s">
        <v>31</v>
      </c>
      <c r="F35" s="10" t="s">
        <v>32</v>
      </c>
      <c r="G35" s="12" t="str">
        <f t="shared" si="1"/>
        <v>BDF 250uM AA2P scaffolds 1-4, D5 Ind #2</v>
      </c>
      <c r="H35" s="18"/>
      <c r="I35" s="12">
        <v>1.0</v>
      </c>
      <c r="J35" s="2"/>
      <c r="K35" s="12">
        <v>200.0</v>
      </c>
      <c r="L35" s="12">
        <f t="array" ref="L35">if(D35= "standard", "", if(iserror(index(dilution_factor!$J$2:J387,match(dilution_factor!A35,$C$2:C387,0))),"",index(dilution_factor!$J$2:J387,match(dilution_factor!A35,$C$2:C387,0))))</f>
        <v>4</v>
      </c>
      <c r="M35" s="12">
        <v>20.0</v>
      </c>
      <c r="N35" s="19"/>
      <c r="O35" s="19"/>
      <c r="P35" s="19"/>
      <c r="Q35" s="19"/>
      <c r="R35" s="10" t="s">
        <v>33</v>
      </c>
      <c r="S35" s="10"/>
      <c r="T35" s="10"/>
      <c r="U35" s="10"/>
      <c r="V35" s="14">
        <v>45456.47419259259</v>
      </c>
      <c r="W35" s="4" t="str">
        <f t="shared" si="2"/>
        <v>HP185-34,HP185-20240613,BDF 250uM AA2P scaffolds 1-4, D5 Ind #2,sample,liquid,EXP135,BDF 250uM AA2P scaffolds 1-4, D5 Ind #2,,1,,200,4,20,,,,,DS,,,,06-13-2024</v>
      </c>
      <c r="X35" s="15" t="str">
        <f t="shared" si="3"/>
        <v>HP185-34
BDF 250uM AA2P scaffolds 1-4, D5 Ind #2
12-30-1899</v>
      </c>
      <c r="Y35" s="15" t="str">
        <f t="shared" si="4"/>
        <v/>
      </c>
      <c r="Z35" s="15"/>
      <c r="AA35" s="15"/>
      <c r="AB35" s="15" t="str">
        <f t="shared" si="5"/>
        <v/>
      </c>
    </row>
    <row r="36" ht="15.75" customHeight="1">
      <c r="A36" s="9" t="str">
        <f>IFERROR(__xludf.DUMMYFUNCTION("if(B36="""","""", REGEXEXTRACT(B36,""(.*)-.*"") &amp; ""-"" &amp; COUNTA($B$2:B36))"),"HP185-35")</f>
        <v>HP185-35</v>
      </c>
      <c r="B36" s="10" t="s">
        <v>28</v>
      </c>
      <c r="C36" s="20" t="s">
        <v>67</v>
      </c>
      <c r="D36" s="10" t="s">
        <v>30</v>
      </c>
      <c r="E36" s="10" t="s">
        <v>31</v>
      </c>
      <c r="F36" s="10" t="s">
        <v>32</v>
      </c>
      <c r="G36" s="12" t="str">
        <f t="shared" si="1"/>
        <v>BDF 100uM AA2P scaffolds 1-4, D7 Ind #2</v>
      </c>
      <c r="H36" s="18"/>
      <c r="I36" s="12">
        <v>1.0</v>
      </c>
      <c r="J36" s="2"/>
      <c r="K36" s="12">
        <v>200.0</v>
      </c>
      <c r="L36" s="12">
        <f t="array" ref="L36">if(D36= "standard", "", if(iserror(index(dilution_factor!$J$2:J387,match(dilution_factor!A36,$C$2:C387,0))),"",index(dilution_factor!$J$2:J387,match(dilution_factor!A36,$C$2:C387,0))))</f>
        <v>4</v>
      </c>
      <c r="M36" s="12">
        <v>20.0</v>
      </c>
      <c r="N36" s="19"/>
      <c r="O36" s="19"/>
      <c r="P36" s="19"/>
      <c r="Q36" s="19"/>
      <c r="R36" s="10" t="s">
        <v>33</v>
      </c>
      <c r="S36" s="10"/>
      <c r="T36" s="10"/>
      <c r="U36" s="10"/>
      <c r="V36" s="14">
        <v>45456.47419259259</v>
      </c>
      <c r="W36" s="4" t="str">
        <f t="shared" si="2"/>
        <v>HP185-35,HP185-20240613,BDF 100uM AA2P scaffolds 1-4, D7 Ind #2,sample,liquid,EXP135,BDF 100uM AA2P scaffolds 1-4, D7 Ind #2,,1,,200,4,20,,,,,DS,,,,06-13-2024</v>
      </c>
      <c r="X36" s="15" t="str">
        <f t="shared" si="3"/>
        <v>HP185-35
BDF 100uM AA2P scaffolds 1-4, D7 Ind #2
12-30-1899</v>
      </c>
      <c r="Y36" s="15" t="str">
        <f t="shared" si="4"/>
        <v/>
      </c>
      <c r="Z36" s="15"/>
      <c r="AA36" s="15"/>
      <c r="AB36" s="15" t="str">
        <f t="shared" si="5"/>
        <v/>
      </c>
    </row>
    <row r="37" ht="15.75" customHeight="1">
      <c r="A37" s="9" t="str">
        <f>IFERROR(__xludf.DUMMYFUNCTION("if(B37="""","""", REGEXEXTRACT(B37,""(.*)-.*"") &amp; ""-"" &amp; COUNTA($B$2:B37))"),"HP185-36")</f>
        <v>HP185-36</v>
      </c>
      <c r="B37" s="10" t="s">
        <v>28</v>
      </c>
      <c r="C37" s="20" t="s">
        <v>68</v>
      </c>
      <c r="D37" s="10" t="s">
        <v>30</v>
      </c>
      <c r="E37" s="10" t="s">
        <v>31</v>
      </c>
      <c r="F37" s="10" t="s">
        <v>32</v>
      </c>
      <c r="G37" s="12" t="str">
        <f t="shared" si="1"/>
        <v>BDF 250uM AA2P scaffolds 1-4, D7 Ind #2</v>
      </c>
      <c r="H37" s="18"/>
      <c r="I37" s="12">
        <v>1.0</v>
      </c>
      <c r="J37" s="2"/>
      <c r="K37" s="12">
        <v>200.0</v>
      </c>
      <c r="L37" s="12">
        <f t="array" ref="L37">if(D37= "standard", "", if(iserror(index(dilution_factor!$J$2:J387,match(dilution_factor!A37,$C$2:C387,0))),"",index(dilution_factor!$J$2:J387,match(dilution_factor!A37,$C$2:C387,0))))</f>
        <v>4</v>
      </c>
      <c r="M37" s="12">
        <v>20.0</v>
      </c>
      <c r="N37" s="19"/>
      <c r="O37" s="19"/>
      <c r="P37" s="19"/>
      <c r="Q37" s="19"/>
      <c r="R37" s="10" t="s">
        <v>33</v>
      </c>
      <c r="S37" s="10"/>
      <c r="T37" s="10"/>
      <c r="U37" s="10"/>
      <c r="V37" s="14">
        <v>45456.47419259259</v>
      </c>
      <c r="W37" s="4" t="str">
        <f t="shared" si="2"/>
        <v>HP185-36,HP185-20240613,BDF 250uM AA2P scaffolds 1-4, D7 Ind #2,sample,liquid,EXP135,BDF 250uM AA2P scaffolds 1-4, D7 Ind #2,,1,,200,4,20,,,,,DS,,,,06-13-2024</v>
      </c>
      <c r="X37" s="15" t="str">
        <f t="shared" si="3"/>
        <v>HP185-36
BDF 250uM AA2P scaffolds 1-4, D7 Ind #2
12-30-1899</v>
      </c>
      <c r="Y37" s="15" t="str">
        <f t="shared" si="4"/>
        <v/>
      </c>
      <c r="Z37" s="15"/>
      <c r="AA37" s="15"/>
      <c r="AB37" s="15" t="str">
        <f t="shared" si="5"/>
        <v/>
      </c>
    </row>
    <row r="38" ht="15.75" customHeight="1">
      <c r="A38" s="9" t="str">
        <f>IFERROR(__xludf.DUMMYFUNCTION("if(B38="""","""", REGEXEXTRACT(B38,""(.*)-.*"") &amp; ""-"" &amp; COUNTA($B$2:B38))"),"HP185-37")</f>
        <v>HP185-37</v>
      </c>
      <c r="B38" s="10" t="s">
        <v>28</v>
      </c>
      <c r="C38" s="20" t="s">
        <v>69</v>
      </c>
      <c r="D38" s="10" t="s">
        <v>30</v>
      </c>
      <c r="E38" s="10" t="s">
        <v>31</v>
      </c>
      <c r="F38" s="10" t="s">
        <v>32</v>
      </c>
      <c r="G38" s="12" t="str">
        <f t="shared" si="1"/>
        <v>BDF 100uM AA2P scaffolds 1-4, D3 Ind #3</v>
      </c>
      <c r="H38" s="18"/>
      <c r="I38" s="12">
        <v>1.0</v>
      </c>
      <c r="J38" s="2"/>
      <c r="K38" s="12">
        <v>200.0</v>
      </c>
      <c r="L38" s="12">
        <f t="array" ref="L38">if(D38= "standard", "", if(iserror(index(dilution_factor!$J$2:J387,match(dilution_factor!A38,$C$2:C387,0))),"",index(dilution_factor!$J$2:J387,match(dilution_factor!A38,$C$2:C387,0))))</f>
        <v>4</v>
      </c>
      <c r="M38" s="12">
        <v>20.0</v>
      </c>
      <c r="N38" s="19"/>
      <c r="O38" s="19"/>
      <c r="P38" s="19"/>
      <c r="Q38" s="19"/>
      <c r="R38" s="10" t="s">
        <v>33</v>
      </c>
      <c r="S38" s="10"/>
      <c r="T38" s="10"/>
      <c r="U38" s="10"/>
      <c r="V38" s="14">
        <v>45456.47419259259</v>
      </c>
      <c r="W38" s="4" t="str">
        <f t="shared" si="2"/>
        <v>HP185-37,HP185-20240613,BDF 100uM AA2P scaffolds 1-4, D3 Ind #3,sample,liquid,EXP135,BDF 100uM AA2P scaffolds 1-4, D3 Ind #3,,1,,200,4,20,,,,,DS,,,,06-13-2024</v>
      </c>
      <c r="X38" s="15" t="str">
        <f t="shared" si="3"/>
        <v>HP185-37
BDF 100uM AA2P scaffolds 1-4, D3 Ind #3
12-30-1899</v>
      </c>
      <c r="Y38" s="15" t="str">
        <f t="shared" si="4"/>
        <v/>
      </c>
      <c r="Z38" s="15"/>
      <c r="AA38" s="15"/>
      <c r="AB38" s="15" t="str">
        <f t="shared" si="5"/>
        <v/>
      </c>
    </row>
    <row r="39" ht="15.75" customHeight="1">
      <c r="A39" s="9" t="str">
        <f>IFERROR(__xludf.DUMMYFUNCTION("if(B39="""","""", REGEXEXTRACT(B39,""(.*)-.*"") &amp; ""-"" &amp; COUNTA($B$2:B39))"),"HP185-38")</f>
        <v>HP185-38</v>
      </c>
      <c r="B39" s="10" t="s">
        <v>28</v>
      </c>
      <c r="C39" s="20" t="s">
        <v>70</v>
      </c>
      <c r="D39" s="10" t="s">
        <v>30</v>
      </c>
      <c r="E39" s="10" t="s">
        <v>31</v>
      </c>
      <c r="F39" s="10" t="s">
        <v>32</v>
      </c>
      <c r="G39" s="12" t="str">
        <f t="shared" si="1"/>
        <v>BDF 250uM AA2P scaffolds 1-4, D3 Ind #3</v>
      </c>
      <c r="H39" s="18"/>
      <c r="I39" s="12">
        <v>1.0</v>
      </c>
      <c r="J39" s="2"/>
      <c r="K39" s="12">
        <v>200.0</v>
      </c>
      <c r="L39" s="12">
        <f t="array" ref="L39">if(D39= "standard", "", if(iserror(index(dilution_factor!$J$2:J387,match(dilution_factor!A39,$C$2:C387,0))),"",index(dilution_factor!$J$2:J387,match(dilution_factor!A39,$C$2:C387,0))))</f>
        <v>4</v>
      </c>
      <c r="M39" s="12">
        <v>20.0</v>
      </c>
      <c r="N39" s="19"/>
      <c r="O39" s="19"/>
      <c r="P39" s="19"/>
      <c r="Q39" s="19"/>
      <c r="R39" s="10" t="s">
        <v>33</v>
      </c>
      <c r="S39" s="10"/>
      <c r="T39" s="10"/>
      <c r="U39" s="10"/>
      <c r="V39" s="14">
        <v>45456.47419259259</v>
      </c>
      <c r="W39" s="4" t="str">
        <f t="shared" si="2"/>
        <v>HP185-38,HP185-20240613,BDF 250uM AA2P scaffolds 1-4, D3 Ind #3,sample,liquid,EXP135,BDF 250uM AA2P scaffolds 1-4, D3 Ind #3,,1,,200,4,20,,,,,DS,,,,06-13-2024</v>
      </c>
      <c r="X39" s="15" t="str">
        <f t="shared" si="3"/>
        <v>HP185-38
BDF 250uM AA2P scaffolds 1-4, D3 Ind #3
12-30-1899</v>
      </c>
      <c r="Y39" s="15" t="str">
        <f t="shared" si="4"/>
        <v/>
      </c>
      <c r="Z39" s="15"/>
      <c r="AA39" s="15"/>
      <c r="AB39" s="15" t="str">
        <f t="shared" si="5"/>
        <v/>
      </c>
    </row>
    <row r="40" ht="15.75" customHeight="1">
      <c r="A40" s="9" t="str">
        <f>IFERROR(__xludf.DUMMYFUNCTION("if(B40="""","""", REGEXEXTRACT(B40,""(.*)-.*"") &amp; ""-"" &amp; COUNTA($B$2:B40))"),"HP185-39")</f>
        <v>HP185-39</v>
      </c>
      <c r="B40" s="10" t="s">
        <v>28</v>
      </c>
      <c r="C40" s="20" t="s">
        <v>71</v>
      </c>
      <c r="D40" s="10" t="s">
        <v>30</v>
      </c>
      <c r="E40" s="10" t="s">
        <v>31</v>
      </c>
      <c r="F40" s="10" t="s">
        <v>32</v>
      </c>
      <c r="G40" s="12" t="str">
        <f t="shared" si="1"/>
        <v>BDF 100uM AA2P scaffolds 1-4, D5 Ind #3</v>
      </c>
      <c r="H40" s="18"/>
      <c r="I40" s="12">
        <v>1.0</v>
      </c>
      <c r="J40" s="2"/>
      <c r="K40" s="12">
        <v>200.0</v>
      </c>
      <c r="L40" s="12">
        <f t="array" ref="L40">if(D40= "standard", "", if(iserror(index(dilution_factor!$J$2:J387,match(dilution_factor!A40,$C$2:C387,0))),"",index(dilution_factor!$J$2:J387,match(dilution_factor!A40,$C$2:C387,0))))</f>
        <v>4</v>
      </c>
      <c r="M40" s="12">
        <v>20.0</v>
      </c>
      <c r="N40" s="19"/>
      <c r="O40" s="19"/>
      <c r="P40" s="19"/>
      <c r="Q40" s="19"/>
      <c r="R40" s="10" t="s">
        <v>33</v>
      </c>
      <c r="S40" s="10"/>
      <c r="T40" s="10"/>
      <c r="U40" s="10"/>
      <c r="V40" s="14">
        <v>45456.47419259259</v>
      </c>
      <c r="W40" s="4" t="str">
        <f t="shared" si="2"/>
        <v>HP185-39,HP185-20240613,BDF 100uM AA2P scaffolds 1-4, D5 Ind #3,sample,liquid,EXP135,BDF 100uM AA2P scaffolds 1-4, D5 Ind #3,,1,,200,4,20,,,,,DS,,,,06-13-2024</v>
      </c>
      <c r="X40" s="15" t="str">
        <f t="shared" si="3"/>
        <v>HP185-39
BDF 100uM AA2P scaffolds 1-4, D5 Ind #3
12-30-1899</v>
      </c>
      <c r="Y40" s="15" t="str">
        <f t="shared" si="4"/>
        <v/>
      </c>
      <c r="Z40" s="15"/>
      <c r="AA40" s="15"/>
      <c r="AB40" s="15" t="str">
        <f t="shared" si="5"/>
        <v/>
      </c>
    </row>
    <row r="41" ht="15.75" customHeight="1">
      <c r="A41" s="9" t="str">
        <f>IFERROR(__xludf.DUMMYFUNCTION("if(B41="""","""", REGEXEXTRACT(B41,""(.*)-.*"") &amp; ""-"" &amp; COUNTA($B$2:B41))"),"HP185-40")</f>
        <v>HP185-40</v>
      </c>
      <c r="B41" s="10" t="s">
        <v>28</v>
      </c>
      <c r="C41" s="20" t="s">
        <v>72</v>
      </c>
      <c r="D41" s="10" t="s">
        <v>30</v>
      </c>
      <c r="E41" s="10" t="s">
        <v>31</v>
      </c>
      <c r="F41" s="10" t="s">
        <v>32</v>
      </c>
      <c r="G41" s="12" t="str">
        <f t="shared" si="1"/>
        <v>BDF 250uM AA2P scaffolds 1-4, D5 Ind #3</v>
      </c>
      <c r="H41" s="18"/>
      <c r="I41" s="12">
        <v>1.0</v>
      </c>
      <c r="J41" s="2"/>
      <c r="K41" s="12">
        <v>200.0</v>
      </c>
      <c r="L41" s="12">
        <f t="array" ref="L41">if(D41= "standard", "", if(iserror(index(dilution_factor!$J$2:J387,match(dilution_factor!A41,$C$2:C387,0))),"",index(dilution_factor!$J$2:J387,match(dilution_factor!A41,$C$2:C387,0))))</f>
        <v>4</v>
      </c>
      <c r="M41" s="12">
        <v>20.0</v>
      </c>
      <c r="N41" s="19"/>
      <c r="O41" s="19"/>
      <c r="P41" s="19"/>
      <c r="Q41" s="19"/>
      <c r="R41" s="10" t="s">
        <v>33</v>
      </c>
      <c r="S41" s="10"/>
      <c r="T41" s="10"/>
      <c r="U41" s="10"/>
      <c r="V41" s="14">
        <v>45456.47419259259</v>
      </c>
      <c r="W41" s="4" t="str">
        <f t="shared" si="2"/>
        <v>HP185-40,HP185-20240613,BDF 250uM AA2P scaffolds 1-4, D5 Ind #3,sample,liquid,EXP135,BDF 250uM AA2P scaffolds 1-4, D5 Ind #3,,1,,200,4,20,,,,,DS,,,,06-13-2024</v>
      </c>
      <c r="X41" s="15" t="str">
        <f t="shared" si="3"/>
        <v>HP185-40
BDF 250uM AA2P scaffolds 1-4, D5 Ind #3
12-30-1899</v>
      </c>
      <c r="Y41" s="15" t="str">
        <f t="shared" si="4"/>
        <v/>
      </c>
      <c r="Z41" s="15"/>
      <c r="AA41" s="15"/>
      <c r="AB41" s="15" t="str">
        <f t="shared" si="5"/>
        <v/>
      </c>
    </row>
    <row r="42" ht="15.75" customHeight="1">
      <c r="A42" s="9" t="str">
        <f>IFERROR(__xludf.DUMMYFUNCTION("if(B42="""","""", REGEXEXTRACT(B42,""(.*)-.*"") &amp; ""-"" &amp; COUNTA($B$2:B42))"),"HP185-41")</f>
        <v>HP185-41</v>
      </c>
      <c r="B42" s="10" t="s">
        <v>28</v>
      </c>
      <c r="C42" s="20" t="s">
        <v>73</v>
      </c>
      <c r="D42" s="10" t="s">
        <v>30</v>
      </c>
      <c r="E42" s="10" t="s">
        <v>31</v>
      </c>
      <c r="F42" s="10" t="s">
        <v>32</v>
      </c>
      <c r="G42" s="12" t="str">
        <f t="shared" si="1"/>
        <v>BDF 100uM AA2P scaffolds 1-4, D7 Ind #3</v>
      </c>
      <c r="H42" s="18"/>
      <c r="I42" s="12">
        <v>1.0</v>
      </c>
      <c r="J42" s="2"/>
      <c r="K42" s="12">
        <v>200.0</v>
      </c>
      <c r="L42" s="12">
        <f t="array" ref="L42">if(D42= "standard", "", if(iserror(index(dilution_factor!$J$2:J387,match(dilution_factor!A42,$C$2:C387,0))),"",index(dilution_factor!$J$2:J387,match(dilution_factor!A42,$C$2:C387,0))))</f>
        <v>4</v>
      </c>
      <c r="M42" s="12">
        <v>20.0</v>
      </c>
      <c r="N42" s="19"/>
      <c r="O42" s="19"/>
      <c r="P42" s="19"/>
      <c r="Q42" s="19"/>
      <c r="R42" s="10" t="s">
        <v>33</v>
      </c>
      <c r="S42" s="10"/>
      <c r="T42" s="10"/>
      <c r="U42" s="10"/>
      <c r="V42" s="14">
        <v>45456.47419259259</v>
      </c>
      <c r="W42" s="4" t="str">
        <f t="shared" si="2"/>
        <v>HP185-41,HP185-20240613,BDF 100uM AA2P scaffolds 1-4, D7 Ind #3,sample,liquid,EXP135,BDF 100uM AA2P scaffolds 1-4, D7 Ind #3,,1,,200,4,20,,,,,DS,,,,06-13-2024</v>
      </c>
      <c r="X42" s="15" t="str">
        <f t="shared" si="3"/>
        <v>HP185-41
BDF 100uM AA2P scaffolds 1-4, D7 Ind #3
12-30-1899</v>
      </c>
      <c r="Y42" s="15" t="str">
        <f t="shared" si="4"/>
        <v/>
      </c>
      <c r="Z42" s="15"/>
      <c r="AA42" s="15"/>
      <c r="AB42" s="15" t="str">
        <f t="shared" si="5"/>
        <v/>
      </c>
    </row>
    <row r="43" ht="15.75" customHeight="1">
      <c r="A43" s="9" t="str">
        <f>IFERROR(__xludf.DUMMYFUNCTION("if(B43="""","""", REGEXEXTRACT(B43,""(.*)-.*"") &amp; ""-"" &amp; COUNTA($B$2:B43))"),"HP185-42")</f>
        <v>HP185-42</v>
      </c>
      <c r="B43" s="10" t="s">
        <v>28</v>
      </c>
      <c r="C43" s="20" t="s">
        <v>74</v>
      </c>
      <c r="D43" s="10" t="s">
        <v>30</v>
      </c>
      <c r="E43" s="10" t="s">
        <v>31</v>
      </c>
      <c r="F43" s="10" t="s">
        <v>32</v>
      </c>
      <c r="G43" s="12" t="str">
        <f t="shared" si="1"/>
        <v>BDF 250uM AA2P scaffolds 1-4, D7 Ind #3</v>
      </c>
      <c r="H43" s="17"/>
      <c r="I43" s="12">
        <v>1.0</v>
      </c>
      <c r="J43" s="16"/>
      <c r="K43" s="12">
        <v>200.0</v>
      </c>
      <c r="L43" s="12">
        <f t="array" ref="L43">if(D43= "standard", "", if(iserror(index(dilution_factor!$J$2:J387,match(dilution_factor!A43,$C$2:C387,0))),"",index(dilution_factor!$J$2:J387,match(dilution_factor!A43,$C$2:C387,0))))</f>
        <v>4</v>
      </c>
      <c r="M43" s="12">
        <v>20.0</v>
      </c>
      <c r="N43" s="16"/>
      <c r="O43" s="16"/>
      <c r="P43" s="16"/>
      <c r="Q43" s="16"/>
      <c r="R43" s="10" t="s">
        <v>33</v>
      </c>
      <c r="S43" s="10"/>
      <c r="T43" s="10"/>
      <c r="U43" s="10"/>
      <c r="V43" s="14">
        <v>45456.47419259259</v>
      </c>
      <c r="W43" s="4" t="str">
        <f t="shared" si="2"/>
        <v>HP185-42,HP185-20240613,BDF 250uM AA2P scaffolds 1-4, D7 Ind #3,sample,liquid,EXP135,BDF 250uM AA2P scaffolds 1-4, D7 Ind #3,,1,,200,4,20,,,,,DS,,,,06-13-2024</v>
      </c>
      <c r="X43" s="15" t="str">
        <f t="shared" si="3"/>
        <v>HP185-42
BDF 250uM AA2P scaffolds 1-4, D7 Ind #3
12-30-1899</v>
      </c>
      <c r="Y43" s="15" t="str">
        <f t="shared" si="4"/>
        <v/>
      </c>
      <c r="Z43" s="15"/>
      <c r="AA43" s="15"/>
      <c r="AB43" s="15" t="str">
        <f t="shared" si="5"/>
        <v/>
      </c>
    </row>
    <row r="44" ht="15.75" customHeight="1">
      <c r="A44" s="9" t="str">
        <f>IFERROR(__xludf.DUMMYFUNCTION("if(B44="""","""", REGEXEXTRACT(B44,""(.*)-.*"") &amp; ""-"" &amp; COUNTA($B$2:B44))"),"HP185-43")</f>
        <v>HP185-43</v>
      </c>
      <c r="B44" s="10" t="s">
        <v>28</v>
      </c>
      <c r="C44" s="20" t="s">
        <v>75</v>
      </c>
      <c r="D44" s="10" t="s">
        <v>30</v>
      </c>
      <c r="E44" s="10" t="s">
        <v>31</v>
      </c>
      <c r="F44" s="10" t="s">
        <v>32</v>
      </c>
      <c r="G44" s="12" t="str">
        <f t="shared" si="1"/>
        <v>BDF 100uM AA2P scaffolds 1-4, D3 Ind #4</v>
      </c>
      <c r="H44" s="17"/>
      <c r="I44" s="12">
        <v>1.0</v>
      </c>
      <c r="J44" s="16"/>
      <c r="K44" s="12">
        <v>200.0</v>
      </c>
      <c r="L44" s="12">
        <f t="array" ref="L44">if(D44= "standard", "", if(iserror(index(dilution_factor!$J$2:J387,match(dilution_factor!A44,$C$2:C387,0))),"",index(dilution_factor!$J$2:J387,match(dilution_factor!A44,$C$2:C387,0))))</f>
        <v>4</v>
      </c>
      <c r="M44" s="12">
        <v>20.0</v>
      </c>
      <c r="N44" s="16"/>
      <c r="O44" s="16"/>
      <c r="P44" s="16"/>
      <c r="Q44" s="16"/>
      <c r="R44" s="10" t="s">
        <v>33</v>
      </c>
      <c r="S44" s="10"/>
      <c r="T44" s="10"/>
      <c r="U44" s="10"/>
      <c r="V44" s="14">
        <v>45456.47419259259</v>
      </c>
      <c r="W44" s="4" t="str">
        <f t="shared" si="2"/>
        <v>HP185-43,HP185-20240613,BDF 100uM AA2P scaffolds 1-4, D3 Ind #4,sample,liquid,EXP135,BDF 100uM AA2P scaffolds 1-4, D3 Ind #4,,1,,200,4,20,,,,,DS,,,,06-13-2024</v>
      </c>
      <c r="X44" s="15" t="str">
        <f t="shared" si="3"/>
        <v>HP185-43
BDF 100uM AA2P scaffolds 1-4, D3 Ind #4
12-30-1899</v>
      </c>
      <c r="Y44" s="15" t="str">
        <f t="shared" si="4"/>
        <v/>
      </c>
      <c r="Z44" s="15"/>
      <c r="AA44" s="15"/>
      <c r="AB44" s="15" t="str">
        <f t="shared" si="5"/>
        <v/>
      </c>
    </row>
    <row r="45" ht="15.75" customHeight="1">
      <c r="A45" s="9" t="str">
        <f>IFERROR(__xludf.DUMMYFUNCTION("if(B45="""","""", REGEXEXTRACT(B45,""(.*)-.*"") &amp; ""-"" &amp; COUNTA($B$2:B45))"),"HP185-44")</f>
        <v>HP185-44</v>
      </c>
      <c r="B45" s="10" t="s">
        <v>28</v>
      </c>
      <c r="C45" s="20" t="s">
        <v>76</v>
      </c>
      <c r="D45" s="10" t="s">
        <v>30</v>
      </c>
      <c r="E45" s="10" t="s">
        <v>31</v>
      </c>
      <c r="F45" s="10" t="s">
        <v>32</v>
      </c>
      <c r="G45" s="12" t="str">
        <f t="shared" si="1"/>
        <v>BDF 250uM AA2P scaffolds 1-4, D3 Ind #4</v>
      </c>
      <c r="H45" s="17"/>
      <c r="I45" s="12">
        <v>1.0</v>
      </c>
      <c r="J45" s="16"/>
      <c r="K45" s="12">
        <v>200.0</v>
      </c>
      <c r="L45" s="12">
        <f t="array" ref="L45">if(D45= "standard", "", if(iserror(index(dilution_factor!$J$2:J387,match(dilution_factor!A45,$C$2:C387,0))),"",index(dilution_factor!$J$2:J387,match(dilution_factor!A45,$C$2:C387,0))))</f>
        <v>4</v>
      </c>
      <c r="M45" s="12">
        <v>20.0</v>
      </c>
      <c r="N45" s="16"/>
      <c r="O45" s="16"/>
      <c r="P45" s="16"/>
      <c r="Q45" s="16"/>
      <c r="R45" s="10" t="s">
        <v>33</v>
      </c>
      <c r="S45" s="10"/>
      <c r="T45" s="10"/>
      <c r="U45" s="10"/>
      <c r="V45" s="14">
        <v>45456.47419259259</v>
      </c>
      <c r="W45" s="4" t="str">
        <f t="shared" si="2"/>
        <v>HP185-44,HP185-20240613,BDF 250uM AA2P scaffolds 1-4, D3 Ind #4,sample,liquid,EXP135,BDF 250uM AA2P scaffolds 1-4, D3 Ind #4,,1,,200,4,20,,,,,DS,,,,06-13-2024</v>
      </c>
      <c r="X45" s="15" t="str">
        <f t="shared" si="3"/>
        <v>HP185-44
BDF 250uM AA2P scaffolds 1-4, D3 Ind #4
12-30-1899</v>
      </c>
      <c r="Y45" s="15" t="str">
        <f t="shared" si="4"/>
        <v/>
      </c>
      <c r="Z45" s="15"/>
      <c r="AA45" s="15"/>
      <c r="AB45" s="15" t="str">
        <f t="shared" si="5"/>
        <v/>
      </c>
    </row>
    <row r="46" ht="15.75" customHeight="1">
      <c r="A46" s="9" t="str">
        <f>IFERROR(__xludf.DUMMYFUNCTION("if(B46="""","""", REGEXEXTRACT(B46,""(.*)-.*"") &amp; ""-"" &amp; COUNTA($B$2:B46))"),"HP185-45")</f>
        <v>HP185-45</v>
      </c>
      <c r="B46" s="10" t="s">
        <v>28</v>
      </c>
      <c r="C46" s="20" t="s">
        <v>77</v>
      </c>
      <c r="D46" s="10" t="s">
        <v>30</v>
      </c>
      <c r="E46" s="10" t="s">
        <v>31</v>
      </c>
      <c r="F46" s="10" t="s">
        <v>32</v>
      </c>
      <c r="G46" s="12" t="str">
        <f t="shared" si="1"/>
        <v>BDF 100uM AA2P scaffolds 1-4, D5 Ind #4</v>
      </c>
      <c r="H46" s="17"/>
      <c r="I46" s="12">
        <v>1.0</v>
      </c>
      <c r="J46" s="16"/>
      <c r="K46" s="12">
        <v>200.0</v>
      </c>
      <c r="L46" s="12">
        <f t="array" ref="L46">if(D46= "standard", "", if(iserror(index(dilution_factor!$J$2:J387,match(dilution_factor!A46,$C$2:C387,0))),"",index(dilution_factor!$J$2:J387,match(dilution_factor!A46,$C$2:C387,0))))</f>
        <v>4</v>
      </c>
      <c r="M46" s="12">
        <v>20.0</v>
      </c>
      <c r="N46" s="16"/>
      <c r="O46" s="16"/>
      <c r="P46" s="16"/>
      <c r="Q46" s="16"/>
      <c r="R46" s="10" t="s">
        <v>33</v>
      </c>
      <c r="S46" s="10"/>
      <c r="T46" s="10"/>
      <c r="U46" s="10"/>
      <c r="V46" s="14">
        <v>45456.47419259259</v>
      </c>
      <c r="W46" s="4" t="str">
        <f t="shared" si="2"/>
        <v>HP185-45,HP185-20240613,BDF 100uM AA2P scaffolds 1-4, D5 Ind #4,sample,liquid,EXP135,BDF 100uM AA2P scaffolds 1-4, D5 Ind #4,,1,,200,4,20,,,,,DS,,,,06-13-2024</v>
      </c>
      <c r="X46" s="15" t="str">
        <f t="shared" si="3"/>
        <v>HP185-45
BDF 100uM AA2P scaffolds 1-4, D5 Ind #4
12-30-1899</v>
      </c>
      <c r="Y46" s="15" t="str">
        <f t="shared" si="4"/>
        <v/>
      </c>
      <c r="Z46" s="15"/>
      <c r="AA46" s="15"/>
      <c r="AB46" s="15" t="str">
        <f t="shared" si="5"/>
        <v/>
      </c>
    </row>
    <row r="47" ht="15.75" customHeight="1">
      <c r="A47" s="9" t="str">
        <f>IFERROR(__xludf.DUMMYFUNCTION("if(B47="""","""", REGEXEXTRACT(B47,""(.*)-.*"") &amp; ""-"" &amp; COUNTA($B$2:B47))"),"HP185-46")</f>
        <v>HP185-46</v>
      </c>
      <c r="B47" s="10" t="s">
        <v>28</v>
      </c>
      <c r="C47" s="20" t="s">
        <v>78</v>
      </c>
      <c r="D47" s="10" t="s">
        <v>30</v>
      </c>
      <c r="E47" s="10" t="s">
        <v>31</v>
      </c>
      <c r="F47" s="10" t="s">
        <v>32</v>
      </c>
      <c r="G47" s="12" t="str">
        <f t="shared" si="1"/>
        <v>BDF 250uM AA2P scaffolds 1-4, D5 Ind #4</v>
      </c>
      <c r="H47" s="17"/>
      <c r="I47" s="12">
        <v>1.0</v>
      </c>
      <c r="J47" s="16"/>
      <c r="K47" s="12">
        <v>200.0</v>
      </c>
      <c r="L47" s="12">
        <f t="array" ref="L47">if(D47= "standard", "", if(iserror(index(dilution_factor!$J$2:J387,match(dilution_factor!A47,$C$2:C387,0))),"",index(dilution_factor!$J$2:J387,match(dilution_factor!A47,$C$2:C387,0))))</f>
        <v>4</v>
      </c>
      <c r="M47" s="12">
        <v>20.0</v>
      </c>
      <c r="N47" s="16"/>
      <c r="O47" s="16"/>
      <c r="P47" s="16"/>
      <c r="Q47" s="16"/>
      <c r="R47" s="10" t="s">
        <v>33</v>
      </c>
      <c r="S47" s="10"/>
      <c r="T47" s="10"/>
      <c r="U47" s="10"/>
      <c r="V47" s="14">
        <v>45456.47419259259</v>
      </c>
      <c r="W47" s="4" t="str">
        <f t="shared" si="2"/>
        <v>HP185-46,HP185-20240613,BDF 250uM AA2P scaffolds 1-4, D5 Ind #4,sample,liquid,EXP135,BDF 250uM AA2P scaffolds 1-4, D5 Ind #4,,1,,200,4,20,,,,,DS,,,,06-13-2024</v>
      </c>
      <c r="X47" s="15" t="str">
        <f t="shared" si="3"/>
        <v>HP185-46
BDF 250uM AA2P scaffolds 1-4, D5 Ind #4
12-30-1899</v>
      </c>
      <c r="Y47" s="15" t="str">
        <f t="shared" si="4"/>
        <v/>
      </c>
      <c r="Z47" s="15"/>
      <c r="AA47" s="15"/>
      <c r="AB47" s="15" t="str">
        <f t="shared" si="5"/>
        <v/>
      </c>
    </row>
    <row r="48" ht="15.75" customHeight="1">
      <c r="A48" s="9" t="str">
        <f>IFERROR(__xludf.DUMMYFUNCTION("if(B48="""","""", REGEXEXTRACT(B48,""(.*)-.*"") &amp; ""-"" &amp; COUNTA($B$2:B48))"),"HP185-47")</f>
        <v>HP185-47</v>
      </c>
      <c r="B48" s="10" t="s">
        <v>28</v>
      </c>
      <c r="C48" s="20" t="s">
        <v>79</v>
      </c>
      <c r="D48" s="10" t="s">
        <v>30</v>
      </c>
      <c r="E48" s="10" t="s">
        <v>31</v>
      </c>
      <c r="F48" s="10" t="s">
        <v>32</v>
      </c>
      <c r="G48" s="12" t="str">
        <f t="shared" si="1"/>
        <v>BDF 100uM AA2P scaffolds 1-4, D7 Ind #4</v>
      </c>
      <c r="H48" s="17"/>
      <c r="I48" s="12">
        <v>1.0</v>
      </c>
      <c r="J48" s="16"/>
      <c r="K48" s="12">
        <v>200.0</v>
      </c>
      <c r="L48" s="12">
        <f t="array" ref="L48">if(D48= "standard", "", if(iserror(index(dilution_factor!$J$2:J387,match(dilution_factor!A48,$C$2:C387,0))),"",index(dilution_factor!$J$2:J387,match(dilution_factor!A48,$C$2:C387,0))))</f>
        <v>4</v>
      </c>
      <c r="M48" s="12">
        <v>20.0</v>
      </c>
      <c r="N48" s="16"/>
      <c r="O48" s="16"/>
      <c r="P48" s="16"/>
      <c r="Q48" s="16"/>
      <c r="R48" s="10" t="s">
        <v>33</v>
      </c>
      <c r="S48" s="10"/>
      <c r="T48" s="10"/>
      <c r="U48" s="10"/>
      <c r="V48" s="14">
        <v>45456.47419259259</v>
      </c>
      <c r="W48" s="4" t="str">
        <f t="shared" si="2"/>
        <v>HP185-47,HP185-20240613,BDF 100uM AA2P scaffolds 1-4, D7 Ind #4,sample,liquid,EXP135,BDF 100uM AA2P scaffolds 1-4, D7 Ind #4,,1,,200,4,20,,,,,DS,,,,06-13-2024</v>
      </c>
      <c r="X48" s="15" t="str">
        <f t="shared" si="3"/>
        <v>HP185-47
BDF 100uM AA2P scaffolds 1-4, D7 Ind #4
12-30-1899</v>
      </c>
      <c r="Y48" s="15" t="str">
        <f t="shared" si="4"/>
        <v/>
      </c>
      <c r="Z48" s="15"/>
      <c r="AA48" s="15"/>
      <c r="AB48" s="15" t="str">
        <f t="shared" si="5"/>
        <v/>
      </c>
    </row>
    <row r="49" ht="15.75" customHeight="1">
      <c r="A49" s="9" t="str">
        <f>IFERROR(__xludf.DUMMYFUNCTION("if(B49="""","""", REGEXEXTRACT(B49,""(.*)-.*"") &amp; ""-"" &amp; COUNTA($B$2:B49))"),"HP185-48")</f>
        <v>HP185-48</v>
      </c>
      <c r="B49" s="10" t="s">
        <v>28</v>
      </c>
      <c r="C49" s="20" t="s">
        <v>80</v>
      </c>
      <c r="D49" s="10" t="s">
        <v>30</v>
      </c>
      <c r="E49" s="10" t="s">
        <v>31</v>
      </c>
      <c r="F49" s="10" t="s">
        <v>32</v>
      </c>
      <c r="G49" s="12" t="str">
        <f t="shared" si="1"/>
        <v>BDF 250uM AA2P scaffolds 1-4, D7 Ind #4</v>
      </c>
      <c r="H49" s="17"/>
      <c r="I49" s="12">
        <v>1.0</v>
      </c>
      <c r="J49" s="16"/>
      <c r="K49" s="12">
        <v>200.0</v>
      </c>
      <c r="L49" s="12">
        <f t="array" ref="L49">if(D49= "standard", "", if(iserror(index(dilution_factor!$J$2:J387,match(dilution_factor!A49,$C$2:C387,0))),"",index(dilution_factor!$J$2:J387,match(dilution_factor!A49,$C$2:C387,0))))</f>
        <v>4</v>
      </c>
      <c r="M49" s="12">
        <v>20.0</v>
      </c>
      <c r="N49" s="16"/>
      <c r="O49" s="16"/>
      <c r="P49" s="16"/>
      <c r="Q49" s="16"/>
      <c r="R49" s="10" t="s">
        <v>33</v>
      </c>
      <c r="S49" s="10"/>
      <c r="T49" s="10"/>
      <c r="U49" s="10"/>
      <c r="V49" s="14">
        <v>45456.47419259259</v>
      </c>
      <c r="W49" s="4" t="str">
        <f t="shared" si="2"/>
        <v>HP185-48,HP185-20240613,BDF 250uM AA2P scaffolds 1-4, D7 Ind #4,sample,liquid,EXP135,BDF 250uM AA2P scaffolds 1-4, D7 Ind #4,,1,,200,4,20,,,,,DS,,,,06-13-2024</v>
      </c>
      <c r="X49" s="15" t="str">
        <f t="shared" si="3"/>
        <v>HP185-48
BDF 250uM AA2P scaffolds 1-4, D7 Ind #4
12-30-1899</v>
      </c>
      <c r="Y49" s="15" t="str">
        <f t="shared" si="4"/>
        <v/>
      </c>
      <c r="Z49" s="15"/>
      <c r="AA49" s="15"/>
      <c r="AB49" s="15" t="str">
        <f t="shared" si="5"/>
        <v/>
      </c>
    </row>
    <row r="50" ht="15.75" customHeight="1">
      <c r="A50" s="9" t="str">
        <f>IFERROR(__xludf.DUMMYFUNCTION("if(B50="""","""", REGEXEXTRACT(B50,""(.*)-.*"") &amp; ""-"" &amp; COUNTA($B$2:B50))"),"HP185-49")</f>
        <v>HP185-49</v>
      </c>
      <c r="B50" s="10" t="s">
        <v>28</v>
      </c>
      <c r="C50" s="20" t="s">
        <v>81</v>
      </c>
      <c r="D50" s="10" t="s">
        <v>30</v>
      </c>
      <c r="E50" s="10" t="s">
        <v>31</v>
      </c>
      <c r="F50" s="10" t="s">
        <v>32</v>
      </c>
      <c r="G50" s="12" t="str">
        <f t="shared" si="1"/>
        <v>BDF 150uM AA2P scaffolds 1-4, D3 Ind #1</v>
      </c>
      <c r="H50" s="17"/>
      <c r="I50" s="12">
        <v>1.0</v>
      </c>
      <c r="J50" s="16"/>
      <c r="K50" s="12">
        <v>200.0</v>
      </c>
      <c r="L50" s="12">
        <f t="array" ref="L50">if(D50= "standard", "", if(iserror(index(dilution_factor!$J$2:J387,match(dilution_factor!A50,$C$2:C387,0))),"",index(dilution_factor!$J$2:J387,match(dilution_factor!A50,$C$2:C387,0))))</f>
        <v>4</v>
      </c>
      <c r="M50" s="12">
        <v>20.0</v>
      </c>
      <c r="N50" s="16"/>
      <c r="O50" s="16"/>
      <c r="P50" s="16"/>
      <c r="Q50" s="16"/>
      <c r="R50" s="10" t="s">
        <v>33</v>
      </c>
      <c r="S50" s="10"/>
      <c r="T50" s="10"/>
      <c r="U50" s="10"/>
      <c r="V50" s="14">
        <v>45456.47419259259</v>
      </c>
      <c r="W50" s="4" t="str">
        <f t="shared" si="2"/>
        <v>HP185-49,HP185-20240613,BDF 150uM AA2P scaffolds 1-4, D3 Ind #1,sample,liquid,EXP135,BDF 150uM AA2P scaffolds 1-4, D3 Ind #1,,1,,200,4,20,,,,,DS,,,,06-13-2024</v>
      </c>
      <c r="X50" s="15" t="str">
        <f t="shared" si="3"/>
        <v>HP185-49
BDF 150uM AA2P scaffolds 1-4, D3 Ind #1
12-30-1899</v>
      </c>
      <c r="Y50" s="15" t="str">
        <f t="shared" si="4"/>
        <v/>
      </c>
      <c r="Z50" s="15"/>
      <c r="AA50" s="15"/>
      <c r="AB50" s="15" t="str">
        <f t="shared" si="5"/>
        <v/>
      </c>
    </row>
    <row r="51" ht="15.75" customHeight="1">
      <c r="A51" s="9" t="str">
        <f>IFERROR(__xludf.DUMMYFUNCTION("if(B51="""","""", REGEXEXTRACT(B51,""(.*)-.*"") &amp; ""-"" &amp; COUNTA($B$2:B51))"),"HP185-50")</f>
        <v>HP185-50</v>
      </c>
      <c r="B51" s="10" t="s">
        <v>28</v>
      </c>
      <c r="C51" s="20" t="s">
        <v>82</v>
      </c>
      <c r="D51" s="10" t="s">
        <v>30</v>
      </c>
      <c r="E51" s="10" t="s">
        <v>31</v>
      </c>
      <c r="F51" s="10" t="s">
        <v>32</v>
      </c>
      <c r="G51" s="12" t="str">
        <f t="shared" si="1"/>
        <v>BDF 300uM AA2P scaffolds 1-4, D3 Ind #1</v>
      </c>
      <c r="H51" s="17"/>
      <c r="I51" s="12">
        <v>1.0</v>
      </c>
      <c r="J51" s="16"/>
      <c r="K51" s="12">
        <v>200.0</v>
      </c>
      <c r="L51" s="12">
        <f t="array" ref="L51">if(D51= "standard", "", if(iserror(index(dilution_factor!$J$2:J387,match(dilution_factor!A51,$C$2:C387,0))),"",index(dilution_factor!$J$2:J387,match(dilution_factor!A51,$C$2:C387,0))))</f>
        <v>4</v>
      </c>
      <c r="M51" s="12">
        <v>20.0</v>
      </c>
      <c r="N51" s="16"/>
      <c r="O51" s="16"/>
      <c r="P51" s="16"/>
      <c r="Q51" s="16"/>
      <c r="R51" s="10" t="s">
        <v>33</v>
      </c>
      <c r="S51" s="10"/>
      <c r="T51" s="10"/>
      <c r="U51" s="10"/>
      <c r="V51" s="14">
        <v>45456.47419259259</v>
      </c>
      <c r="W51" s="4" t="str">
        <f t="shared" si="2"/>
        <v>HP185-50,HP185-20240613,BDF 300uM AA2P scaffolds 1-4, D3 Ind #1,sample,liquid,EXP135,BDF 300uM AA2P scaffolds 1-4, D3 Ind #1,,1,,200,4,20,,,,,DS,,,,06-13-2024</v>
      </c>
      <c r="X51" s="15" t="str">
        <f t="shared" si="3"/>
        <v>HP185-50
BDF 300uM AA2P scaffolds 1-4, D3 Ind #1
12-30-1899</v>
      </c>
      <c r="Y51" s="15" t="str">
        <f t="shared" si="4"/>
        <v/>
      </c>
      <c r="Z51" s="15"/>
      <c r="AA51" s="15"/>
      <c r="AB51" s="15" t="str">
        <f t="shared" si="5"/>
        <v/>
      </c>
    </row>
    <row r="52" ht="15.75" customHeight="1">
      <c r="A52" s="9" t="str">
        <f>IFERROR(__xludf.DUMMYFUNCTION("if(B52="""","""", REGEXEXTRACT(B52,""(.*)-.*"") &amp; ""-"" &amp; COUNTA($B$2:B52))"),"HP185-51")</f>
        <v>HP185-51</v>
      </c>
      <c r="B52" s="10" t="s">
        <v>28</v>
      </c>
      <c r="C52" s="20" t="s">
        <v>83</v>
      </c>
      <c r="D52" s="10" t="s">
        <v>30</v>
      </c>
      <c r="E52" s="10" t="s">
        <v>31</v>
      </c>
      <c r="F52" s="10" t="s">
        <v>32</v>
      </c>
      <c r="G52" s="12" t="str">
        <f t="shared" si="1"/>
        <v>BDF 150uM AA2P scaffolds 1-4, D5 Ind #1</v>
      </c>
      <c r="H52" s="17"/>
      <c r="I52" s="12">
        <v>1.0</v>
      </c>
      <c r="J52" s="16"/>
      <c r="K52" s="12">
        <v>200.0</v>
      </c>
      <c r="L52" s="12">
        <f t="array" ref="L52">if(D52= "standard", "", if(iserror(index(dilution_factor!$J$2:J387,match(dilution_factor!A52,$C$2:C387,0))),"",index(dilution_factor!$J$2:J387,match(dilution_factor!A52,$C$2:C387,0))))</f>
        <v>4</v>
      </c>
      <c r="M52" s="12">
        <v>20.0</v>
      </c>
      <c r="N52" s="16"/>
      <c r="O52" s="16"/>
      <c r="P52" s="16"/>
      <c r="Q52" s="16"/>
      <c r="R52" s="10" t="s">
        <v>33</v>
      </c>
      <c r="S52" s="10"/>
      <c r="T52" s="10"/>
      <c r="U52" s="10"/>
      <c r="V52" s="14">
        <v>45456.47419259259</v>
      </c>
      <c r="W52" s="4" t="str">
        <f t="shared" si="2"/>
        <v>HP185-51,HP185-20240613,BDF 150uM AA2P scaffolds 1-4, D5 Ind #1,sample,liquid,EXP135,BDF 150uM AA2P scaffolds 1-4, D5 Ind #1,,1,,200,4,20,,,,,DS,,,,06-13-2024</v>
      </c>
      <c r="X52" s="15" t="str">
        <f t="shared" si="3"/>
        <v>HP185-51
BDF 150uM AA2P scaffolds 1-4, D5 Ind #1
12-30-1899</v>
      </c>
      <c r="Y52" s="15" t="str">
        <f t="shared" si="4"/>
        <v/>
      </c>
      <c r="Z52" s="15"/>
      <c r="AA52" s="15"/>
      <c r="AB52" s="15" t="str">
        <f t="shared" si="5"/>
        <v/>
      </c>
    </row>
    <row r="53" ht="15.75" customHeight="1">
      <c r="A53" s="9" t="str">
        <f>IFERROR(__xludf.DUMMYFUNCTION("if(B53="""","""", REGEXEXTRACT(B53,""(.*)-.*"") &amp; ""-"" &amp; COUNTA($B$2:B53))"),"HP185-52")</f>
        <v>HP185-52</v>
      </c>
      <c r="B53" s="10" t="s">
        <v>28</v>
      </c>
      <c r="C53" s="20" t="s">
        <v>84</v>
      </c>
      <c r="D53" s="10" t="s">
        <v>30</v>
      </c>
      <c r="E53" s="10" t="s">
        <v>31</v>
      </c>
      <c r="F53" s="10" t="s">
        <v>32</v>
      </c>
      <c r="G53" s="12" t="str">
        <f t="shared" si="1"/>
        <v>BDF 300uM AA2P scaffolds 1-4, D5 Ind #1</v>
      </c>
      <c r="H53" s="17"/>
      <c r="I53" s="12">
        <v>1.0</v>
      </c>
      <c r="J53" s="16"/>
      <c r="K53" s="12">
        <v>200.0</v>
      </c>
      <c r="L53" s="12">
        <f t="array" ref="L53">if(D53= "standard", "", if(iserror(index(dilution_factor!$J$2:J387,match(dilution_factor!A53,$C$2:C387,0))),"",index(dilution_factor!$J$2:J387,match(dilution_factor!A53,$C$2:C387,0))))</f>
        <v>4</v>
      </c>
      <c r="M53" s="12">
        <v>20.0</v>
      </c>
      <c r="N53" s="16"/>
      <c r="O53" s="16"/>
      <c r="P53" s="16"/>
      <c r="Q53" s="16"/>
      <c r="R53" s="10" t="s">
        <v>33</v>
      </c>
      <c r="S53" s="10"/>
      <c r="T53" s="10"/>
      <c r="U53" s="10"/>
      <c r="V53" s="14">
        <v>45456.47419259259</v>
      </c>
      <c r="W53" s="4" t="str">
        <f t="shared" si="2"/>
        <v>HP185-52,HP185-20240613,BDF 300uM AA2P scaffolds 1-4, D5 Ind #1,sample,liquid,EXP135,BDF 300uM AA2P scaffolds 1-4, D5 Ind #1,,1,,200,4,20,,,,,DS,,,,06-13-2024</v>
      </c>
      <c r="X53" s="15" t="str">
        <f t="shared" si="3"/>
        <v>HP185-52
BDF 300uM AA2P scaffolds 1-4, D5 Ind #1
12-30-1899</v>
      </c>
      <c r="Y53" s="15" t="str">
        <f t="shared" si="4"/>
        <v/>
      </c>
      <c r="Z53" s="15"/>
      <c r="AA53" s="15"/>
      <c r="AB53" s="15" t="str">
        <f t="shared" si="5"/>
        <v/>
      </c>
    </row>
    <row r="54" ht="15.75" customHeight="1">
      <c r="A54" s="9" t="str">
        <f>IFERROR(__xludf.DUMMYFUNCTION("if(B54="""","""", REGEXEXTRACT(B54,""(.*)-.*"") &amp; ""-"" &amp; COUNTA($B$2:B54))"),"HP185-53")</f>
        <v>HP185-53</v>
      </c>
      <c r="B54" s="10" t="s">
        <v>28</v>
      </c>
      <c r="C54" s="20" t="s">
        <v>85</v>
      </c>
      <c r="D54" s="10" t="s">
        <v>30</v>
      </c>
      <c r="E54" s="10" t="s">
        <v>31</v>
      </c>
      <c r="F54" s="10" t="s">
        <v>32</v>
      </c>
      <c r="G54" s="12" t="str">
        <f t="shared" si="1"/>
        <v>BDF 150uM AA2P scaffolds 1-4, D7 Ind #1</v>
      </c>
      <c r="H54" s="17"/>
      <c r="I54" s="12">
        <v>1.0</v>
      </c>
      <c r="J54" s="16"/>
      <c r="K54" s="12">
        <v>200.0</v>
      </c>
      <c r="L54" s="12">
        <f t="array" ref="L54">if(D54= "standard", "", if(iserror(index(dilution_factor!$J$2:J387,match(dilution_factor!A54,$C$2:C387,0))),"",index(dilution_factor!$J$2:J387,match(dilution_factor!A54,$C$2:C387,0))))</f>
        <v>4</v>
      </c>
      <c r="M54" s="12">
        <v>20.0</v>
      </c>
      <c r="N54" s="16"/>
      <c r="O54" s="16"/>
      <c r="P54" s="16"/>
      <c r="Q54" s="16"/>
      <c r="R54" s="10" t="s">
        <v>33</v>
      </c>
      <c r="S54" s="10"/>
      <c r="T54" s="10"/>
      <c r="U54" s="10"/>
      <c r="V54" s="14">
        <v>45456.47419259259</v>
      </c>
      <c r="W54" s="4" t="str">
        <f t="shared" si="2"/>
        <v>HP185-53,HP185-20240613,BDF 150uM AA2P scaffolds 1-4, D7 Ind #1,sample,liquid,EXP135,BDF 150uM AA2P scaffolds 1-4, D7 Ind #1,,1,,200,4,20,,,,,DS,,,,06-13-2024</v>
      </c>
      <c r="X54" s="15" t="str">
        <f t="shared" si="3"/>
        <v>HP185-53
BDF 150uM AA2P scaffolds 1-4, D7 Ind #1
12-30-1899</v>
      </c>
      <c r="Y54" s="15" t="str">
        <f t="shared" si="4"/>
        <v/>
      </c>
      <c r="Z54" s="15"/>
      <c r="AA54" s="15"/>
      <c r="AB54" s="15" t="str">
        <f t="shared" si="5"/>
        <v/>
      </c>
    </row>
    <row r="55" ht="15.75" customHeight="1">
      <c r="A55" s="9" t="str">
        <f>IFERROR(__xludf.DUMMYFUNCTION("if(B55="""","""", REGEXEXTRACT(B55,""(.*)-.*"") &amp; ""-"" &amp; COUNTA($B$2:B55))"),"HP185-54")</f>
        <v>HP185-54</v>
      </c>
      <c r="B55" s="10" t="s">
        <v>28</v>
      </c>
      <c r="C55" s="20" t="s">
        <v>86</v>
      </c>
      <c r="D55" s="10" t="s">
        <v>30</v>
      </c>
      <c r="E55" s="10" t="s">
        <v>31</v>
      </c>
      <c r="F55" s="10" t="s">
        <v>32</v>
      </c>
      <c r="G55" s="12" t="str">
        <f t="shared" si="1"/>
        <v>BDF 300uM AA2P scaffolds 1-4, D7 Ind #1</v>
      </c>
      <c r="H55" s="17"/>
      <c r="I55" s="12">
        <v>1.0</v>
      </c>
      <c r="J55" s="16"/>
      <c r="K55" s="12">
        <v>200.0</v>
      </c>
      <c r="L55" s="12">
        <f t="array" ref="L55">if(D55= "standard", "", if(iserror(index(dilution_factor!$J$2:J387,match(dilution_factor!A55,$C$2:C387,0))),"",index(dilution_factor!$J$2:J387,match(dilution_factor!A55,$C$2:C387,0))))</f>
        <v>4</v>
      </c>
      <c r="M55" s="12">
        <v>20.0</v>
      </c>
      <c r="N55" s="16"/>
      <c r="O55" s="16"/>
      <c r="P55" s="16"/>
      <c r="Q55" s="16"/>
      <c r="R55" s="10" t="s">
        <v>33</v>
      </c>
      <c r="S55" s="10"/>
      <c r="T55" s="10"/>
      <c r="U55" s="10"/>
      <c r="V55" s="14">
        <v>45456.47419259259</v>
      </c>
      <c r="W55" s="4" t="str">
        <f t="shared" si="2"/>
        <v>HP185-54,HP185-20240613,BDF 300uM AA2P scaffolds 1-4, D7 Ind #1,sample,liquid,EXP135,BDF 300uM AA2P scaffolds 1-4, D7 Ind #1,,1,,200,4,20,,,,,DS,,,,06-13-2024</v>
      </c>
      <c r="X55" s="15" t="str">
        <f t="shared" si="3"/>
        <v>HP185-54
BDF 300uM AA2P scaffolds 1-4, D7 Ind #1
12-30-1899</v>
      </c>
      <c r="Y55" s="15" t="str">
        <f t="shared" si="4"/>
        <v/>
      </c>
      <c r="Z55" s="15"/>
      <c r="AA55" s="15"/>
      <c r="AB55" s="15" t="str">
        <f t="shared" si="5"/>
        <v/>
      </c>
    </row>
    <row r="56" ht="15.75" customHeight="1">
      <c r="A56" s="9" t="str">
        <f>IFERROR(__xludf.DUMMYFUNCTION("if(B56="""","""", REGEXEXTRACT(B56,""(.*)-.*"") &amp; ""-"" &amp; COUNTA($B$2:B56))"),"HP185-55")</f>
        <v>HP185-55</v>
      </c>
      <c r="B56" s="10" t="s">
        <v>28</v>
      </c>
      <c r="C56" s="21" t="s">
        <v>87</v>
      </c>
      <c r="D56" s="10" t="s">
        <v>30</v>
      </c>
      <c r="E56" s="10" t="s">
        <v>31</v>
      </c>
      <c r="F56" s="10" t="s">
        <v>32</v>
      </c>
      <c r="G56" s="12" t="str">
        <f t="shared" si="1"/>
        <v>BDF 50uM AA2P scaffolds 1-4, D10 Ind #1</v>
      </c>
      <c r="H56" s="17"/>
      <c r="I56" s="12">
        <v>1.0</v>
      </c>
      <c r="J56" s="16"/>
      <c r="K56" s="12">
        <v>200.0</v>
      </c>
      <c r="L56" s="12">
        <f t="array" ref="L56">if(D56= "standard", "", if(iserror(index(dilution_factor!$J$2:J387,match(dilution_factor!A56,$C$2:C387,0))),"",index(dilution_factor!$J$2:J387,match(dilution_factor!A56,$C$2:C387,0))))</f>
        <v>4</v>
      </c>
      <c r="M56" s="12">
        <v>20.0</v>
      </c>
      <c r="N56" s="16"/>
      <c r="O56" s="16"/>
      <c r="P56" s="16"/>
      <c r="Q56" s="16"/>
      <c r="R56" s="10" t="s">
        <v>33</v>
      </c>
      <c r="S56" s="10"/>
      <c r="T56" s="10"/>
      <c r="U56" s="10"/>
      <c r="V56" s="14">
        <v>45456.47419259259</v>
      </c>
      <c r="W56" s="4" t="str">
        <f t="shared" si="2"/>
        <v>HP185-55,HP185-20240613,BDF 50uM AA2P scaffolds 1-4, D10 Ind #1,sample,liquid,EXP135,BDF 50uM AA2P scaffolds 1-4, D10 Ind #1,,1,,200,4,20,,,,,DS,,,,06-13-2024</v>
      </c>
      <c r="X56" s="15" t="str">
        <f t="shared" si="3"/>
        <v>HP185-55
BDF 50uM AA2P scaffolds 1-4, D10 Ind #1
12-30-1899</v>
      </c>
      <c r="Y56" s="15" t="str">
        <f t="shared" si="4"/>
        <v/>
      </c>
      <c r="Z56" s="15"/>
      <c r="AA56" s="15"/>
      <c r="AB56" s="15" t="str">
        <f t="shared" si="5"/>
        <v/>
      </c>
    </row>
    <row r="57" ht="15.75" customHeight="1">
      <c r="A57" s="9" t="str">
        <f>IFERROR(__xludf.DUMMYFUNCTION("if(B57="""","""", REGEXEXTRACT(B57,""(.*)-.*"") &amp; ""-"" &amp; COUNTA($B$2:B57))"),"HP185-56")</f>
        <v>HP185-56</v>
      </c>
      <c r="B57" s="10" t="s">
        <v>28</v>
      </c>
      <c r="C57" s="21" t="s">
        <v>88</v>
      </c>
      <c r="D57" s="10" t="s">
        <v>30</v>
      </c>
      <c r="E57" s="10" t="s">
        <v>31</v>
      </c>
      <c r="F57" s="10" t="s">
        <v>32</v>
      </c>
      <c r="G57" s="12" t="str">
        <f t="shared" si="1"/>
        <v>BDF 200uM AA2P scaffolds 1-4, D10 Ind #1</v>
      </c>
      <c r="H57" s="17"/>
      <c r="I57" s="12">
        <v>1.0</v>
      </c>
      <c r="J57" s="16"/>
      <c r="K57" s="12">
        <v>200.0</v>
      </c>
      <c r="L57" s="12">
        <f t="array" ref="L57">if(D57= "standard", "", if(iserror(index(dilution_factor!$J$2:J387,match(dilution_factor!A57,$C$2:C387,0))),"",index(dilution_factor!$J$2:J387,match(dilution_factor!A57,$C$2:C387,0))))</f>
        <v>4</v>
      </c>
      <c r="M57" s="12">
        <v>20.0</v>
      </c>
      <c r="N57" s="16"/>
      <c r="O57" s="16"/>
      <c r="P57" s="16"/>
      <c r="Q57" s="16"/>
      <c r="R57" s="10" t="s">
        <v>33</v>
      </c>
      <c r="S57" s="10"/>
      <c r="T57" s="10"/>
      <c r="U57" s="10"/>
      <c r="V57" s="14">
        <v>45456.47419259259</v>
      </c>
      <c r="W57" s="4" t="str">
        <f t="shared" si="2"/>
        <v>HP185-56,HP185-20240613,BDF 200uM AA2P scaffolds 1-4, D10 Ind #1,sample,liquid,EXP135,BDF 200uM AA2P scaffolds 1-4, D10 Ind #1,,1,,200,4,20,,,,,DS,,,,06-13-2024</v>
      </c>
      <c r="X57" s="15" t="str">
        <f t="shared" si="3"/>
        <v>HP185-56
BDF 200uM AA2P scaffolds 1-4, D10 Ind #1
12-30-1899</v>
      </c>
      <c r="Y57" s="15" t="str">
        <f t="shared" si="4"/>
        <v/>
      </c>
      <c r="Z57" s="15"/>
      <c r="AA57" s="15"/>
      <c r="AB57" s="15" t="str">
        <f t="shared" si="5"/>
        <v/>
      </c>
    </row>
    <row r="58" ht="15.75" customHeight="1">
      <c r="A58" s="9" t="str">
        <f>IFERROR(__xludf.DUMMYFUNCTION("if(B58="""","""", REGEXEXTRACT(B58,""(.*)-.*"") &amp; ""-"" &amp; COUNTA($B$2:B58))"),"HP185-57")</f>
        <v>HP185-57</v>
      </c>
      <c r="B58" s="10" t="s">
        <v>28</v>
      </c>
      <c r="C58" s="22" t="s">
        <v>89</v>
      </c>
      <c r="D58" s="10" t="s">
        <v>30</v>
      </c>
      <c r="E58" s="10" t="s">
        <v>31</v>
      </c>
      <c r="F58" s="10" t="s">
        <v>32</v>
      </c>
      <c r="G58" s="12" t="str">
        <f t="shared" si="1"/>
        <v>BDF 50uM AA2P scaffolds 1-4, D3 Ind #1 #G0.625</v>
      </c>
      <c r="H58" s="17"/>
      <c r="I58" s="12">
        <v>1.0</v>
      </c>
      <c r="J58" s="16"/>
      <c r="K58" s="12">
        <v>200.0</v>
      </c>
      <c r="L58" s="12">
        <f t="array" ref="L58">if(D58= "standard", "", if(iserror(index(dilution_factor!$J$2:J387,match(dilution_factor!A58,$C$2:C387,0))),"",index(dilution_factor!$J$2:J387,match(dilution_factor!A58,$C$2:C387,0))))</f>
        <v>4</v>
      </c>
      <c r="M58" s="12">
        <v>20.0</v>
      </c>
      <c r="N58" s="16"/>
      <c r="O58" s="16"/>
      <c r="P58" s="16"/>
      <c r="Q58" s="16"/>
      <c r="R58" s="10" t="s">
        <v>33</v>
      </c>
      <c r="S58" s="10"/>
      <c r="T58" s="10"/>
      <c r="U58" s="10"/>
      <c r="V58" s="14">
        <v>45456.47419259259</v>
      </c>
      <c r="W58" s="4" t="str">
        <f t="shared" si="2"/>
        <v>HP185-57,HP185-20240613,BDF 50uM AA2P scaffolds 1-4, D3 Ind #1 #G0.625,sample,liquid,EXP135,BDF 50uM AA2P scaffolds 1-4, D3 Ind #1 #G0.625,,1,,200,4,20,,,,,DS,,,,06-13-2024</v>
      </c>
      <c r="X58" s="15" t="str">
        <f t="shared" si="3"/>
        <v>HP185-57
BDF 50uM AA2P scaffolds 1-4, D3 Ind #1 #G0.625
12-30-1899</v>
      </c>
      <c r="Y58" s="15" t="str">
        <f t="shared" si="4"/>
        <v/>
      </c>
      <c r="Z58" s="15"/>
      <c r="AA58" s="15"/>
      <c r="AB58" s="15" t="str">
        <f t="shared" si="5"/>
        <v/>
      </c>
    </row>
    <row r="59" ht="15.75" customHeight="1">
      <c r="A59" s="9" t="str">
        <f>IFERROR(__xludf.DUMMYFUNCTION("if(B59="""","""", REGEXEXTRACT(B59,""(.*)-.*"") &amp; ""-"" &amp; COUNTA($B$2:B59))"),"HP185-58")</f>
        <v>HP185-58</v>
      </c>
      <c r="B59" s="10" t="s">
        <v>28</v>
      </c>
      <c r="C59" s="23" t="s">
        <v>90</v>
      </c>
      <c r="D59" s="10" t="s">
        <v>30</v>
      </c>
      <c r="E59" s="10" t="s">
        <v>31</v>
      </c>
      <c r="F59" s="10" t="s">
        <v>32</v>
      </c>
      <c r="G59" s="12" t="str">
        <f t="shared" si="1"/>
        <v>BDF 200uM AA2P scaffolds 1-4, D3 Ind #1 #G0.3125</v>
      </c>
      <c r="H59" s="17"/>
      <c r="I59" s="12">
        <v>1.0</v>
      </c>
      <c r="J59" s="16"/>
      <c r="K59" s="12">
        <v>200.0</v>
      </c>
      <c r="L59" s="12">
        <f t="array" ref="L59">if(D59= "standard", "", if(iserror(index(dilution_factor!$J$2:J387,match(dilution_factor!A59,$C$2:C387,0))),"",index(dilution_factor!$J$2:J387,match(dilution_factor!A59,$C$2:C387,0))))</f>
        <v>4</v>
      </c>
      <c r="M59" s="12">
        <v>20.0</v>
      </c>
      <c r="N59" s="16"/>
      <c r="O59" s="16"/>
      <c r="P59" s="16"/>
      <c r="Q59" s="16"/>
      <c r="R59" s="10" t="s">
        <v>33</v>
      </c>
      <c r="S59" s="10"/>
      <c r="T59" s="10"/>
      <c r="U59" s="10"/>
      <c r="V59" s="14">
        <v>45456.47419259259</v>
      </c>
      <c r="W59" s="4" t="str">
        <f t="shared" si="2"/>
        <v>HP185-58,HP185-20240613,BDF 200uM AA2P scaffolds 1-4, D3 Ind #1 #G0.3125,sample,liquid,EXP135,BDF 200uM AA2P scaffolds 1-4, D3 Ind #1 #G0.3125,,1,,200,4,20,,,,,DS,,,,06-13-2024</v>
      </c>
      <c r="X59" s="15" t="str">
        <f t="shared" si="3"/>
        <v>HP185-58
BDF 200uM AA2P scaffolds 1-4, D3 Ind #1 #G0.3125
12-30-1899</v>
      </c>
      <c r="Y59" s="15" t="str">
        <f t="shared" si="4"/>
        <v/>
      </c>
      <c r="Z59" s="15"/>
      <c r="AA59" s="15"/>
      <c r="AB59" s="15" t="str">
        <f t="shared" si="5"/>
        <v/>
      </c>
    </row>
    <row r="60" ht="15.75" customHeight="1">
      <c r="A60" s="9" t="str">
        <f>IFERROR(__xludf.DUMMYFUNCTION("if(B60="""","""", REGEXEXTRACT(B60,""(.*)-.*"") &amp; ""-"" &amp; COUNTA($B$2:B60))"),"HP185-59")</f>
        <v>HP185-59</v>
      </c>
      <c r="B60" s="10" t="s">
        <v>28</v>
      </c>
      <c r="C60" s="24" t="s">
        <v>91</v>
      </c>
      <c r="D60" s="10" t="s">
        <v>30</v>
      </c>
      <c r="E60" s="10" t="s">
        <v>31</v>
      </c>
      <c r="F60" s="10" t="s">
        <v>32</v>
      </c>
      <c r="G60" s="12" t="str">
        <f t="shared" si="1"/>
        <v>BDF 50uM AA2P scaffolds 1-4, D5 Ind #1 #G0.15625</v>
      </c>
      <c r="H60" s="17"/>
      <c r="I60" s="12">
        <v>1.0</v>
      </c>
      <c r="J60" s="16"/>
      <c r="K60" s="12">
        <v>200.0</v>
      </c>
      <c r="L60" s="12">
        <f t="array" ref="L60">if(D60= "standard", "", if(iserror(index(dilution_factor!$J$2:J387,match(dilution_factor!A60,$C$2:C387,0))),"",index(dilution_factor!$J$2:J387,match(dilution_factor!A60,$C$2:C387,0))))</f>
        <v>4</v>
      </c>
      <c r="M60" s="12">
        <v>20.0</v>
      </c>
      <c r="N60" s="16"/>
      <c r="O60" s="16"/>
      <c r="P60" s="16"/>
      <c r="Q60" s="16"/>
      <c r="R60" s="10" t="s">
        <v>33</v>
      </c>
      <c r="S60" s="10"/>
      <c r="T60" s="10"/>
      <c r="U60" s="10"/>
      <c r="V60" s="14">
        <v>45456.47419259259</v>
      </c>
      <c r="W60" s="4" t="str">
        <f t="shared" si="2"/>
        <v>HP185-59,HP185-20240613,BDF 50uM AA2P scaffolds 1-4, D5 Ind #1 #G0.15625,sample,liquid,EXP135,BDF 50uM AA2P scaffolds 1-4, D5 Ind #1 #G0.15625,,1,,200,4,20,,,,,DS,,,,06-13-2024</v>
      </c>
      <c r="X60" s="15" t="str">
        <f t="shared" si="3"/>
        <v>HP185-59
BDF 50uM AA2P scaffolds 1-4, D5 Ind #1 #G0.15625
12-30-1899</v>
      </c>
      <c r="Y60" s="15" t="str">
        <f t="shared" si="4"/>
        <v/>
      </c>
      <c r="Z60" s="15"/>
      <c r="AA60" s="15"/>
      <c r="AB60" s="15" t="str">
        <f t="shared" si="5"/>
        <v/>
      </c>
    </row>
    <row r="61" ht="15.75" customHeight="1">
      <c r="A61" s="9" t="str">
        <f>IFERROR(__xludf.DUMMYFUNCTION("if(B61="""","""", REGEXEXTRACT(B61,""(.*)-.*"") &amp; ""-"" &amp; COUNTA($B$2:B61))"),"HP185-60")</f>
        <v>HP185-60</v>
      </c>
      <c r="B61" s="10" t="s">
        <v>28</v>
      </c>
      <c r="C61" s="21" t="s">
        <v>92</v>
      </c>
      <c r="D61" s="10" t="s">
        <v>30</v>
      </c>
      <c r="E61" s="10" t="s">
        <v>31</v>
      </c>
      <c r="F61" s="10" t="s">
        <v>32</v>
      </c>
      <c r="G61" s="12" t="str">
        <f t="shared" si="1"/>
        <v>BDF 50uM AA2P scaffolds 1-4, D10 Ind #2</v>
      </c>
      <c r="H61" s="17"/>
      <c r="I61" s="12">
        <v>1.0</v>
      </c>
      <c r="J61" s="16"/>
      <c r="K61" s="12">
        <v>200.0</v>
      </c>
      <c r="L61" s="12">
        <f t="array" ref="L61">if(D61= "standard", "", if(iserror(index(dilution_factor!$J$2:J387,match(dilution_factor!A61,$C$2:C387,0))),"",index(dilution_factor!$J$2:J387,match(dilution_factor!A61,$C$2:C387,0))))</f>
        <v>4</v>
      </c>
      <c r="M61" s="12">
        <v>20.0</v>
      </c>
      <c r="N61" s="16"/>
      <c r="O61" s="16"/>
      <c r="P61" s="16"/>
      <c r="Q61" s="16"/>
      <c r="R61" s="10" t="s">
        <v>33</v>
      </c>
      <c r="S61" s="10"/>
      <c r="T61" s="10"/>
      <c r="U61" s="10"/>
      <c r="V61" s="14">
        <v>45456.47419259259</v>
      </c>
      <c r="W61" s="4" t="str">
        <f t="shared" si="2"/>
        <v>HP185-60,HP185-20240613,BDF 50uM AA2P scaffolds 1-4, D10 Ind #2,sample,liquid,EXP135,BDF 50uM AA2P scaffolds 1-4, D10 Ind #2,,1,,200,4,20,,,,,DS,,,,06-13-2024</v>
      </c>
      <c r="X61" s="15" t="str">
        <f t="shared" si="3"/>
        <v>HP185-60
BDF 50uM AA2P scaffolds 1-4, D10 Ind #2
12-30-1899</v>
      </c>
      <c r="Y61" s="15" t="str">
        <f t="shared" si="4"/>
        <v/>
      </c>
      <c r="Z61" s="15"/>
      <c r="AA61" s="15"/>
      <c r="AB61" s="15" t="str">
        <f t="shared" si="5"/>
        <v/>
      </c>
    </row>
    <row r="62" ht="15.75" customHeight="1">
      <c r="A62" s="9" t="str">
        <f>IFERROR(__xludf.DUMMYFUNCTION("if(B62="""","""", REGEXEXTRACT(B62,""(.*)-.*"") &amp; ""-"" &amp; COUNTA($B$2:B62))"),"HP185-61")</f>
        <v>HP185-61</v>
      </c>
      <c r="B62" s="10" t="s">
        <v>28</v>
      </c>
      <c r="C62" s="21" t="s">
        <v>93</v>
      </c>
      <c r="D62" s="10" t="s">
        <v>30</v>
      </c>
      <c r="E62" s="10" t="s">
        <v>31</v>
      </c>
      <c r="F62" s="10" t="s">
        <v>32</v>
      </c>
      <c r="G62" s="12" t="str">
        <f t="shared" si="1"/>
        <v>BDF 200uM AA2P scaffolds 1-4, D10 Ind #2</v>
      </c>
      <c r="H62" s="17"/>
      <c r="I62" s="12">
        <v>1.0</v>
      </c>
      <c r="J62" s="16"/>
      <c r="K62" s="12">
        <v>200.0</v>
      </c>
      <c r="L62" s="12">
        <f t="array" ref="L62">if(D62= "standard", "", if(iserror(index(dilution_factor!$J$2:J387,match(dilution_factor!A62,$C$2:C387,0))),"",index(dilution_factor!$J$2:J387,match(dilution_factor!A62,$C$2:C387,0))))</f>
        <v>4</v>
      </c>
      <c r="M62" s="12">
        <v>20.0</v>
      </c>
      <c r="N62" s="16"/>
      <c r="O62" s="16"/>
      <c r="P62" s="16"/>
      <c r="Q62" s="16"/>
      <c r="R62" s="10" t="s">
        <v>33</v>
      </c>
      <c r="S62" s="10"/>
      <c r="T62" s="10"/>
      <c r="U62" s="10"/>
      <c r="V62" s="14">
        <v>45456.47419259259</v>
      </c>
      <c r="W62" s="4" t="str">
        <f t="shared" si="2"/>
        <v>HP185-61,HP185-20240613,BDF 200uM AA2P scaffolds 1-4, D10 Ind #2,sample,liquid,EXP135,BDF 200uM AA2P scaffolds 1-4, D10 Ind #2,,1,,200,4,20,,,,,DS,,,,06-13-2024</v>
      </c>
      <c r="X62" s="15" t="str">
        <f t="shared" si="3"/>
        <v>HP185-61
BDF 200uM AA2P scaffolds 1-4, D10 Ind #2
12-30-1899</v>
      </c>
      <c r="Y62" s="15" t="str">
        <f t="shared" si="4"/>
        <v/>
      </c>
      <c r="Z62" s="15"/>
      <c r="AA62" s="15"/>
      <c r="AB62" s="15" t="str">
        <f t="shared" si="5"/>
        <v/>
      </c>
    </row>
    <row r="63" ht="15.75" customHeight="1">
      <c r="A63" s="9" t="str">
        <f>IFERROR(__xludf.DUMMYFUNCTION("if(B63="""","""", REGEXEXTRACT(B63,""(.*)-.*"") &amp; ""-"" &amp; COUNTA($B$2:B63))"),"HP185-62")</f>
        <v>HP185-62</v>
      </c>
      <c r="B63" s="10" t="s">
        <v>28</v>
      </c>
      <c r="C63" s="22" t="s">
        <v>94</v>
      </c>
      <c r="D63" s="10" t="s">
        <v>30</v>
      </c>
      <c r="E63" s="10" t="s">
        <v>31</v>
      </c>
      <c r="F63" s="10" t="s">
        <v>32</v>
      </c>
      <c r="G63" s="12" t="str">
        <f t="shared" si="1"/>
        <v>BDF 50uM AA2P scaffolds 1-4, D3 Ind #2 #G0.625</v>
      </c>
      <c r="H63" s="17"/>
      <c r="I63" s="12">
        <v>1.0</v>
      </c>
      <c r="J63" s="16"/>
      <c r="K63" s="12">
        <v>200.0</v>
      </c>
      <c r="L63" s="12">
        <f t="array" ref="L63">if(D63= "standard", "", if(iserror(index(dilution_factor!$J$2:J387,match(dilution_factor!A63,$C$2:C387,0))),"",index(dilution_factor!$J$2:J387,match(dilution_factor!A63,$C$2:C387,0))))</f>
        <v>4</v>
      </c>
      <c r="M63" s="12">
        <v>20.0</v>
      </c>
      <c r="N63" s="16"/>
      <c r="O63" s="16"/>
      <c r="P63" s="16"/>
      <c r="Q63" s="16"/>
      <c r="R63" s="10" t="s">
        <v>33</v>
      </c>
      <c r="S63" s="10"/>
      <c r="T63" s="10"/>
      <c r="U63" s="10"/>
      <c r="V63" s="14">
        <v>45456.47419259259</v>
      </c>
      <c r="W63" s="4" t="str">
        <f t="shared" si="2"/>
        <v>HP185-62,HP185-20240613,BDF 50uM AA2P scaffolds 1-4, D3 Ind #2 #G0.625,sample,liquid,EXP135,BDF 50uM AA2P scaffolds 1-4, D3 Ind #2 #G0.625,,1,,200,4,20,,,,,DS,,,,06-13-2024</v>
      </c>
      <c r="X63" s="15" t="str">
        <f t="shared" si="3"/>
        <v>HP185-62
BDF 50uM AA2P scaffolds 1-4, D3 Ind #2 #G0.625
12-30-1899</v>
      </c>
      <c r="Y63" s="15" t="str">
        <f t="shared" si="4"/>
        <v/>
      </c>
      <c r="Z63" s="15"/>
      <c r="AA63" s="15"/>
      <c r="AB63" s="15" t="str">
        <f t="shared" si="5"/>
        <v/>
      </c>
    </row>
    <row r="64" ht="15.75" customHeight="1">
      <c r="A64" s="9" t="str">
        <f>IFERROR(__xludf.DUMMYFUNCTION("if(B64="""","""", REGEXEXTRACT(B64,""(.*)-.*"") &amp; ""-"" &amp; COUNTA($B$2:B64))"),"HP185-63")</f>
        <v>HP185-63</v>
      </c>
      <c r="B64" s="10" t="s">
        <v>28</v>
      </c>
      <c r="C64" s="23" t="s">
        <v>95</v>
      </c>
      <c r="D64" s="10" t="s">
        <v>30</v>
      </c>
      <c r="E64" s="10" t="s">
        <v>31</v>
      </c>
      <c r="F64" s="10" t="s">
        <v>32</v>
      </c>
      <c r="G64" s="12" t="str">
        <f t="shared" si="1"/>
        <v>BDF 200uM AA2P scaffolds 1-4, D3 Ind #2 #G0.3125</v>
      </c>
      <c r="H64" s="17"/>
      <c r="I64" s="12">
        <v>1.0</v>
      </c>
      <c r="J64" s="16"/>
      <c r="K64" s="12">
        <v>200.0</v>
      </c>
      <c r="L64" s="12">
        <f t="array" ref="L64">if(D64= "standard", "", if(iserror(index(dilution_factor!$J$2:J387,match(dilution_factor!A64,$C$2:C387,0))),"",index(dilution_factor!$J$2:J387,match(dilution_factor!A64,$C$2:C387,0))))</f>
        <v>4</v>
      </c>
      <c r="M64" s="12">
        <v>20.0</v>
      </c>
      <c r="N64" s="16"/>
      <c r="O64" s="16"/>
      <c r="P64" s="16"/>
      <c r="Q64" s="16"/>
      <c r="R64" s="10" t="s">
        <v>33</v>
      </c>
      <c r="S64" s="10"/>
      <c r="T64" s="10"/>
      <c r="U64" s="10"/>
      <c r="V64" s="14">
        <v>45456.47419259259</v>
      </c>
      <c r="W64" s="4" t="str">
        <f t="shared" si="2"/>
        <v>HP185-63,HP185-20240613,BDF 200uM AA2P scaffolds 1-4, D3 Ind #2 #G0.3125,sample,liquid,EXP135,BDF 200uM AA2P scaffolds 1-4, D3 Ind #2 #G0.3125,,1,,200,4,20,,,,,DS,,,,06-13-2024</v>
      </c>
      <c r="X64" s="15" t="str">
        <f t="shared" si="3"/>
        <v>HP185-63
BDF 200uM AA2P scaffolds 1-4, D3 Ind #2 #G0.3125
12-30-1899</v>
      </c>
      <c r="Y64" s="15" t="str">
        <f t="shared" si="4"/>
        <v/>
      </c>
      <c r="Z64" s="15"/>
      <c r="AA64" s="15"/>
      <c r="AB64" s="15" t="str">
        <f t="shared" si="5"/>
        <v/>
      </c>
    </row>
    <row r="65" ht="15.75" customHeight="1">
      <c r="A65" s="9" t="str">
        <f>IFERROR(__xludf.DUMMYFUNCTION("if(B65="""","""", REGEXEXTRACT(B65,""(.*)-.*"") &amp; ""-"" &amp; COUNTA($B$2:B65))"),"HP185-64")</f>
        <v>HP185-64</v>
      </c>
      <c r="B65" s="10" t="s">
        <v>28</v>
      </c>
      <c r="C65" s="24" t="s">
        <v>96</v>
      </c>
      <c r="D65" s="10" t="s">
        <v>30</v>
      </c>
      <c r="E65" s="10" t="s">
        <v>31</v>
      </c>
      <c r="F65" s="10" t="s">
        <v>32</v>
      </c>
      <c r="G65" s="12" t="str">
        <f t="shared" si="1"/>
        <v>BDF 50uM AA2P scaffolds 1-4, D5 Ind #2 #G0.15625</v>
      </c>
      <c r="H65" s="17"/>
      <c r="I65" s="12">
        <v>1.0</v>
      </c>
      <c r="J65" s="16"/>
      <c r="K65" s="12">
        <v>200.0</v>
      </c>
      <c r="L65" s="12">
        <f t="array" ref="L65">if(D65= "standard", "", if(iserror(index(dilution_factor!$J$2:J387,match(dilution_factor!A65,$C$2:C387,0))),"",index(dilution_factor!$J$2:J387,match(dilution_factor!A65,$C$2:C387,0))))</f>
        <v>4</v>
      </c>
      <c r="M65" s="12">
        <v>20.0</v>
      </c>
      <c r="N65" s="16"/>
      <c r="O65" s="16"/>
      <c r="P65" s="16"/>
      <c r="Q65" s="16"/>
      <c r="R65" s="10" t="s">
        <v>33</v>
      </c>
      <c r="S65" s="10"/>
      <c r="T65" s="10"/>
      <c r="U65" s="10"/>
      <c r="V65" s="14">
        <v>45456.47419259259</v>
      </c>
      <c r="W65" s="4" t="str">
        <f t="shared" si="2"/>
        <v>HP185-64,HP185-20240613,BDF 50uM AA2P scaffolds 1-4, D5 Ind #2 #G0.15625,sample,liquid,EXP135,BDF 50uM AA2P scaffolds 1-4, D5 Ind #2 #G0.15625,,1,,200,4,20,,,,,DS,,,,06-13-2024</v>
      </c>
      <c r="X65" s="15" t="str">
        <f t="shared" si="3"/>
        <v>HP185-64
BDF 50uM AA2P scaffolds 1-4, D5 Ind #2 #G0.15625
12-30-1899</v>
      </c>
      <c r="Y65" s="15" t="str">
        <f t="shared" si="4"/>
        <v/>
      </c>
      <c r="Z65" s="15"/>
      <c r="AA65" s="15"/>
      <c r="AB65" s="15" t="str">
        <f t="shared" si="5"/>
        <v/>
      </c>
    </row>
    <row r="66" ht="15.75" customHeight="1">
      <c r="A66" s="9" t="str">
        <f>IFERROR(__xludf.DUMMYFUNCTION("if(B66="""","""", REGEXEXTRACT(B66,""(.*)-.*"") &amp; ""-"" &amp; COUNTA($B$2:B66))"),"HP185-65")</f>
        <v>HP185-65</v>
      </c>
      <c r="B66" s="10" t="s">
        <v>28</v>
      </c>
      <c r="C66" s="21" t="s">
        <v>97</v>
      </c>
      <c r="D66" s="10" t="s">
        <v>30</v>
      </c>
      <c r="E66" s="10" t="s">
        <v>31</v>
      </c>
      <c r="F66" s="10" t="s">
        <v>32</v>
      </c>
      <c r="G66" s="12" t="str">
        <f t="shared" si="1"/>
        <v>BDF 50uM AA2P scaffolds 1-4, D10 Ind #3</v>
      </c>
      <c r="H66" s="17"/>
      <c r="I66" s="12">
        <v>1.0</v>
      </c>
      <c r="J66" s="16"/>
      <c r="K66" s="12">
        <v>200.0</v>
      </c>
      <c r="L66" s="12">
        <f t="array" ref="L66">if(D66= "standard", "", if(iserror(index(dilution_factor!$J$2:J387,match(dilution_factor!A66,$C$2:C387,0))),"",index(dilution_factor!$J$2:J387,match(dilution_factor!A66,$C$2:C387,0))))</f>
        <v>4</v>
      </c>
      <c r="M66" s="12">
        <v>20.0</v>
      </c>
      <c r="N66" s="16"/>
      <c r="O66" s="16"/>
      <c r="P66" s="16"/>
      <c r="Q66" s="16"/>
      <c r="R66" s="10" t="s">
        <v>33</v>
      </c>
      <c r="S66" s="10"/>
      <c r="T66" s="10"/>
      <c r="U66" s="10"/>
      <c r="V66" s="14">
        <v>45456.47419259259</v>
      </c>
      <c r="W66" s="4" t="str">
        <f t="shared" si="2"/>
        <v>HP185-65,HP185-20240613,BDF 50uM AA2P scaffolds 1-4, D10 Ind #3,sample,liquid,EXP135,BDF 50uM AA2P scaffolds 1-4, D10 Ind #3,,1,,200,4,20,,,,,DS,,,,06-13-2024</v>
      </c>
      <c r="X66" s="15" t="str">
        <f t="shared" si="3"/>
        <v>HP185-65
BDF 50uM AA2P scaffolds 1-4, D10 Ind #3
12-30-1899</v>
      </c>
      <c r="Y66" s="15" t="str">
        <f t="shared" si="4"/>
        <v/>
      </c>
      <c r="Z66" s="15"/>
      <c r="AA66" s="15"/>
      <c r="AB66" s="15" t="str">
        <f t="shared" si="5"/>
        <v/>
      </c>
    </row>
    <row r="67" ht="15.75" customHeight="1">
      <c r="A67" s="9" t="str">
        <f>IFERROR(__xludf.DUMMYFUNCTION("if(B67="""","""", REGEXEXTRACT(B67,""(.*)-.*"") &amp; ""-"" &amp; COUNTA($B$2:B67))"),"HP185-66")</f>
        <v>HP185-66</v>
      </c>
      <c r="B67" s="10" t="s">
        <v>28</v>
      </c>
      <c r="C67" s="21" t="s">
        <v>98</v>
      </c>
      <c r="D67" s="10" t="s">
        <v>30</v>
      </c>
      <c r="E67" s="10" t="s">
        <v>31</v>
      </c>
      <c r="F67" s="10" t="s">
        <v>32</v>
      </c>
      <c r="G67" s="12" t="str">
        <f t="shared" si="1"/>
        <v>BDF 200uM AA2P scaffolds 1-4, D10 Ind #3</v>
      </c>
      <c r="H67" s="17"/>
      <c r="I67" s="12">
        <v>1.0</v>
      </c>
      <c r="J67" s="16"/>
      <c r="K67" s="12">
        <v>200.0</v>
      </c>
      <c r="L67" s="12">
        <f t="array" ref="L67">if(D67= "standard", "", if(iserror(index(dilution_factor!$J$2:J387,match(dilution_factor!A67,$C$2:C387,0))),"",index(dilution_factor!$J$2:J387,match(dilution_factor!A67,$C$2:C387,0))))</f>
        <v>4</v>
      </c>
      <c r="M67" s="12">
        <v>20.0</v>
      </c>
      <c r="N67" s="16"/>
      <c r="O67" s="16"/>
      <c r="P67" s="16"/>
      <c r="Q67" s="16"/>
      <c r="R67" s="10" t="s">
        <v>33</v>
      </c>
      <c r="S67" s="10"/>
      <c r="T67" s="10"/>
      <c r="U67" s="10"/>
      <c r="V67" s="14">
        <v>45456.47419259259</v>
      </c>
      <c r="W67" s="4" t="str">
        <f t="shared" si="2"/>
        <v>HP185-66,HP185-20240613,BDF 200uM AA2P scaffolds 1-4, D10 Ind #3,sample,liquid,EXP135,BDF 200uM AA2P scaffolds 1-4, D10 Ind #3,,1,,200,4,20,,,,,DS,,,,06-13-2024</v>
      </c>
      <c r="X67" s="15" t="str">
        <f t="shared" si="3"/>
        <v>HP185-66
BDF 200uM AA2P scaffolds 1-4, D10 Ind #3
12-30-1899</v>
      </c>
      <c r="Y67" s="15" t="str">
        <f t="shared" si="4"/>
        <v/>
      </c>
      <c r="Z67" s="15"/>
      <c r="AA67" s="15"/>
      <c r="AB67" s="15" t="str">
        <f t="shared" si="5"/>
        <v/>
      </c>
    </row>
    <row r="68" ht="15.75" customHeight="1">
      <c r="A68" s="9" t="str">
        <f>IFERROR(__xludf.DUMMYFUNCTION("if(B68="""","""", REGEXEXTRACT(B68,""(.*)-.*"") &amp; ""-"" &amp; COUNTA($B$2:B68))"),"HP185-67")</f>
        <v>HP185-67</v>
      </c>
      <c r="B68" s="10" t="s">
        <v>28</v>
      </c>
      <c r="C68" s="22" t="s">
        <v>99</v>
      </c>
      <c r="D68" s="10" t="s">
        <v>30</v>
      </c>
      <c r="E68" s="10" t="s">
        <v>31</v>
      </c>
      <c r="F68" s="10" t="s">
        <v>32</v>
      </c>
      <c r="G68" s="12" t="str">
        <f t="shared" si="1"/>
        <v>BDF 50uM AA2P scaffolds 1-4, D3 Ind #3 #G0.625</v>
      </c>
      <c r="H68" s="17"/>
      <c r="I68" s="12">
        <v>1.0</v>
      </c>
      <c r="J68" s="16"/>
      <c r="K68" s="12">
        <v>200.0</v>
      </c>
      <c r="L68" s="12">
        <f t="array" ref="L68">if(D68= "standard", "", if(iserror(index(dilution_factor!$J$2:J387,match(dilution_factor!A68,$C$2:C387,0))),"",index(dilution_factor!$J$2:J387,match(dilution_factor!A68,$C$2:C387,0))))</f>
        <v>4</v>
      </c>
      <c r="M68" s="12">
        <v>20.0</v>
      </c>
      <c r="N68" s="16"/>
      <c r="O68" s="16"/>
      <c r="P68" s="16"/>
      <c r="Q68" s="16"/>
      <c r="R68" s="10" t="s">
        <v>33</v>
      </c>
      <c r="S68" s="10"/>
      <c r="T68" s="10"/>
      <c r="U68" s="10"/>
      <c r="V68" s="14">
        <v>45456.47419259259</v>
      </c>
      <c r="W68" s="4" t="str">
        <f t="shared" si="2"/>
        <v>HP185-67,HP185-20240613,BDF 50uM AA2P scaffolds 1-4, D3 Ind #3 #G0.625,sample,liquid,EXP135,BDF 50uM AA2P scaffolds 1-4, D3 Ind #3 #G0.625,,1,,200,4,20,,,,,DS,,,,06-13-2024</v>
      </c>
      <c r="X68" s="15" t="str">
        <f t="shared" si="3"/>
        <v>HP185-67
BDF 50uM AA2P scaffolds 1-4, D3 Ind #3 #G0.625
12-30-1899</v>
      </c>
      <c r="Y68" s="15" t="str">
        <f t="shared" si="4"/>
        <v/>
      </c>
      <c r="Z68" s="15"/>
      <c r="AA68" s="15"/>
      <c r="AB68" s="15" t="str">
        <f t="shared" si="5"/>
        <v/>
      </c>
    </row>
    <row r="69" ht="15.75" customHeight="1">
      <c r="A69" s="9" t="str">
        <f>IFERROR(__xludf.DUMMYFUNCTION("if(B69="""","""", REGEXEXTRACT(B69,""(.*)-.*"") &amp; ""-"" &amp; COUNTA($B$2:B69))"),"HP185-68")</f>
        <v>HP185-68</v>
      </c>
      <c r="B69" s="10" t="s">
        <v>28</v>
      </c>
      <c r="C69" s="23" t="s">
        <v>100</v>
      </c>
      <c r="D69" s="10" t="s">
        <v>30</v>
      </c>
      <c r="E69" s="10" t="s">
        <v>31</v>
      </c>
      <c r="F69" s="10" t="s">
        <v>32</v>
      </c>
      <c r="G69" s="12" t="str">
        <f t="shared" si="1"/>
        <v>BDF 200uM AA2P scaffolds 1-4, D3 Ind #3 #G0.3125</v>
      </c>
      <c r="H69" s="17"/>
      <c r="I69" s="12">
        <v>1.0</v>
      </c>
      <c r="J69" s="16"/>
      <c r="K69" s="12">
        <v>200.0</v>
      </c>
      <c r="L69" s="12">
        <f t="array" ref="L69">if(D69= "standard", "", if(iserror(index(dilution_factor!$J$2:J387,match(dilution_factor!A69,$C$2:C387,0))),"",index(dilution_factor!$J$2:J387,match(dilution_factor!A69,$C$2:C387,0))))</f>
        <v>4</v>
      </c>
      <c r="M69" s="12">
        <v>20.0</v>
      </c>
      <c r="N69" s="16"/>
      <c r="O69" s="16"/>
      <c r="P69" s="16"/>
      <c r="Q69" s="16"/>
      <c r="R69" s="10" t="s">
        <v>33</v>
      </c>
      <c r="S69" s="10"/>
      <c r="T69" s="10"/>
      <c r="U69" s="10"/>
      <c r="V69" s="14">
        <v>45456.47419259259</v>
      </c>
      <c r="W69" s="4" t="str">
        <f t="shared" si="2"/>
        <v>HP185-68,HP185-20240613,BDF 200uM AA2P scaffolds 1-4, D3 Ind #3 #G0.3125,sample,liquid,EXP135,BDF 200uM AA2P scaffolds 1-4, D3 Ind #3 #G0.3125,,1,,200,4,20,,,,,DS,,,,06-13-2024</v>
      </c>
      <c r="X69" s="15" t="str">
        <f t="shared" si="3"/>
        <v>HP185-68
BDF 200uM AA2P scaffolds 1-4, D3 Ind #3 #G0.3125
12-30-1899</v>
      </c>
      <c r="Y69" s="15" t="str">
        <f t="shared" si="4"/>
        <v/>
      </c>
      <c r="Z69" s="15"/>
      <c r="AA69" s="15"/>
      <c r="AB69" s="15" t="str">
        <f t="shared" si="5"/>
        <v/>
      </c>
    </row>
    <row r="70" ht="15.75" customHeight="1">
      <c r="A70" s="9" t="str">
        <f>IFERROR(__xludf.DUMMYFUNCTION("if(B70="""","""", REGEXEXTRACT(B70,""(.*)-.*"") &amp; ""-"" &amp; COUNTA($B$2:B70))"),"HP185-69")</f>
        <v>HP185-69</v>
      </c>
      <c r="B70" s="10" t="s">
        <v>28</v>
      </c>
      <c r="C70" s="24" t="s">
        <v>101</v>
      </c>
      <c r="D70" s="10" t="s">
        <v>30</v>
      </c>
      <c r="E70" s="10" t="s">
        <v>31</v>
      </c>
      <c r="F70" s="10" t="s">
        <v>32</v>
      </c>
      <c r="G70" s="12" t="str">
        <f t="shared" si="1"/>
        <v>BDF 50uM AA2P scaffolds 1-4, D5 Ind #3 #G0.15625</v>
      </c>
      <c r="H70" s="17"/>
      <c r="I70" s="12">
        <v>1.0</v>
      </c>
      <c r="J70" s="16"/>
      <c r="K70" s="12">
        <v>200.0</v>
      </c>
      <c r="L70" s="12">
        <f t="array" ref="L70">if(D70= "standard", "", if(iserror(index(dilution_factor!$J$2:J387,match(dilution_factor!A70,$C$2:C387,0))),"",index(dilution_factor!$J$2:J387,match(dilution_factor!A70,$C$2:C387,0))))</f>
        <v>4</v>
      </c>
      <c r="M70" s="12">
        <v>20.0</v>
      </c>
      <c r="N70" s="16"/>
      <c r="O70" s="16"/>
      <c r="P70" s="16"/>
      <c r="Q70" s="16"/>
      <c r="R70" s="10" t="s">
        <v>33</v>
      </c>
      <c r="S70" s="10"/>
      <c r="T70" s="10"/>
      <c r="U70" s="10"/>
      <c r="V70" s="14">
        <v>45456.47419259259</v>
      </c>
      <c r="W70" s="4" t="str">
        <f t="shared" si="2"/>
        <v>HP185-69,HP185-20240613,BDF 50uM AA2P scaffolds 1-4, D5 Ind #3 #G0.15625,sample,liquid,EXP135,BDF 50uM AA2P scaffolds 1-4, D5 Ind #3 #G0.15625,,1,,200,4,20,,,,,DS,,,,06-13-2024</v>
      </c>
      <c r="X70" s="15" t="str">
        <f t="shared" si="3"/>
        <v>HP185-69
BDF 50uM AA2P scaffolds 1-4, D5 Ind #3 #G0.15625
12-30-1899</v>
      </c>
      <c r="Y70" s="15" t="str">
        <f t="shared" si="4"/>
        <v/>
      </c>
      <c r="Z70" s="15"/>
      <c r="AA70" s="15"/>
      <c r="AB70" s="15" t="str">
        <f t="shared" si="5"/>
        <v/>
      </c>
    </row>
    <row r="71" ht="15.75" customHeight="1">
      <c r="A71" s="9" t="str">
        <f>IFERROR(__xludf.DUMMYFUNCTION("if(B71="""","""", REGEXEXTRACT(B71,""(.*)-.*"") &amp; ""-"" &amp; COUNTA($B$2:B71))"),"HP185-70")</f>
        <v>HP185-70</v>
      </c>
      <c r="B71" s="10" t="s">
        <v>28</v>
      </c>
      <c r="C71" s="21" t="s">
        <v>102</v>
      </c>
      <c r="D71" s="10" t="s">
        <v>30</v>
      </c>
      <c r="E71" s="10" t="s">
        <v>31</v>
      </c>
      <c r="F71" s="10" t="s">
        <v>32</v>
      </c>
      <c r="G71" s="12" t="str">
        <f t="shared" si="1"/>
        <v>BDF 50uM AA2P scaffolds 1-4, D10 Ind #4</v>
      </c>
      <c r="H71" s="17"/>
      <c r="I71" s="12">
        <v>1.0</v>
      </c>
      <c r="J71" s="16"/>
      <c r="K71" s="12">
        <v>200.0</v>
      </c>
      <c r="L71" s="12">
        <f t="array" ref="L71">if(D71= "standard", "", if(iserror(index(dilution_factor!$J$2:J387,match(dilution_factor!A71,$C$2:C387,0))),"",index(dilution_factor!$J$2:J387,match(dilution_factor!A71,$C$2:C387,0))))</f>
        <v>4</v>
      </c>
      <c r="M71" s="12">
        <v>20.0</v>
      </c>
      <c r="N71" s="16"/>
      <c r="O71" s="16"/>
      <c r="P71" s="16"/>
      <c r="Q71" s="16"/>
      <c r="R71" s="10" t="s">
        <v>33</v>
      </c>
      <c r="S71" s="10"/>
      <c r="T71" s="10"/>
      <c r="U71" s="10"/>
      <c r="V71" s="14">
        <v>45456.47419259259</v>
      </c>
      <c r="W71" s="4" t="str">
        <f t="shared" si="2"/>
        <v>HP185-70,HP185-20240613,BDF 50uM AA2P scaffolds 1-4, D10 Ind #4,sample,liquid,EXP135,BDF 50uM AA2P scaffolds 1-4, D10 Ind #4,,1,,200,4,20,,,,,DS,,,,06-13-2024</v>
      </c>
      <c r="X71" s="15" t="str">
        <f t="shared" si="3"/>
        <v>HP185-70
BDF 50uM AA2P scaffolds 1-4, D10 Ind #4
12-30-1899</v>
      </c>
      <c r="Y71" s="15" t="str">
        <f t="shared" si="4"/>
        <v/>
      </c>
      <c r="Z71" s="15"/>
      <c r="AA71" s="15"/>
      <c r="AB71" s="15" t="str">
        <f t="shared" si="5"/>
        <v/>
      </c>
    </row>
    <row r="72" ht="15.75" customHeight="1">
      <c r="A72" s="9" t="str">
        <f>IFERROR(__xludf.DUMMYFUNCTION("if(B72="""","""", REGEXEXTRACT(B72,""(.*)-.*"") &amp; ""-"" &amp; COUNTA($B$2:B72))"),"HP185-71")</f>
        <v>HP185-71</v>
      </c>
      <c r="B72" s="10" t="s">
        <v>28</v>
      </c>
      <c r="C72" s="21" t="s">
        <v>103</v>
      </c>
      <c r="D72" s="10" t="s">
        <v>30</v>
      </c>
      <c r="E72" s="10" t="s">
        <v>31</v>
      </c>
      <c r="F72" s="10" t="s">
        <v>32</v>
      </c>
      <c r="G72" s="12" t="str">
        <f t="shared" si="1"/>
        <v>BDF 200uM AA2P scaffolds 1-4, D10 Ind #4</v>
      </c>
      <c r="H72" s="17"/>
      <c r="I72" s="12">
        <v>1.0</v>
      </c>
      <c r="J72" s="16"/>
      <c r="K72" s="12">
        <v>200.0</v>
      </c>
      <c r="L72" s="12">
        <f t="array" ref="L72">if(D72= "standard", "", if(iserror(index(dilution_factor!$J$2:J387,match(dilution_factor!A72,$C$2:C387,0))),"",index(dilution_factor!$J$2:J387,match(dilution_factor!A72,$C$2:C387,0))))</f>
        <v>4</v>
      </c>
      <c r="M72" s="12">
        <v>20.0</v>
      </c>
      <c r="N72" s="16"/>
      <c r="O72" s="16"/>
      <c r="P72" s="16"/>
      <c r="Q72" s="16"/>
      <c r="R72" s="10" t="s">
        <v>33</v>
      </c>
      <c r="S72" s="10"/>
      <c r="T72" s="10"/>
      <c r="U72" s="10"/>
      <c r="V72" s="14">
        <v>45456.47419259259</v>
      </c>
      <c r="W72" s="4" t="str">
        <f t="shared" si="2"/>
        <v>HP185-71,HP185-20240613,BDF 200uM AA2P scaffolds 1-4, D10 Ind #4,sample,liquid,EXP135,BDF 200uM AA2P scaffolds 1-4, D10 Ind #4,,1,,200,4,20,,,,,DS,,,,06-13-2024</v>
      </c>
      <c r="X72" s="15" t="str">
        <f t="shared" si="3"/>
        <v>HP185-71
BDF 200uM AA2P scaffolds 1-4, D10 Ind #4
12-30-1899</v>
      </c>
      <c r="Y72" s="15" t="str">
        <f t="shared" si="4"/>
        <v/>
      </c>
      <c r="Z72" s="15"/>
      <c r="AA72" s="15"/>
      <c r="AB72" s="15" t="str">
        <f t="shared" si="5"/>
        <v/>
      </c>
    </row>
    <row r="73" ht="15.75" customHeight="1">
      <c r="A73" s="9" t="str">
        <f>IFERROR(__xludf.DUMMYFUNCTION("if(B73="""","""", REGEXEXTRACT(B73,""(.*)-.*"") &amp; ""-"" &amp; COUNTA($B$2:B73))"),"HP185-72")</f>
        <v>HP185-72</v>
      </c>
      <c r="B73" s="10" t="s">
        <v>28</v>
      </c>
      <c r="C73" s="22" t="s">
        <v>104</v>
      </c>
      <c r="D73" s="10" t="s">
        <v>30</v>
      </c>
      <c r="E73" s="10" t="s">
        <v>31</v>
      </c>
      <c r="F73" s="10" t="s">
        <v>32</v>
      </c>
      <c r="G73" s="12" t="str">
        <f t="shared" si="1"/>
        <v>BDF 50uM AA2P scaffolds 1-4, D3 Ind #4 #G0.625</v>
      </c>
      <c r="H73" s="17"/>
      <c r="I73" s="12">
        <v>1.0</v>
      </c>
      <c r="J73" s="16"/>
      <c r="K73" s="12">
        <v>200.0</v>
      </c>
      <c r="L73" s="12">
        <f t="array" ref="L73">if(D73= "standard", "", if(iserror(index(dilution_factor!$J$2:J387,match(dilution_factor!A73,$C$2:C387,0))),"",index(dilution_factor!$J$2:J387,match(dilution_factor!A73,$C$2:C387,0))))</f>
        <v>4</v>
      </c>
      <c r="M73" s="12">
        <v>20.0</v>
      </c>
      <c r="N73" s="16"/>
      <c r="O73" s="16"/>
      <c r="P73" s="16"/>
      <c r="Q73" s="16"/>
      <c r="R73" s="10" t="s">
        <v>33</v>
      </c>
      <c r="S73" s="10"/>
      <c r="T73" s="10"/>
      <c r="U73" s="10"/>
      <c r="V73" s="14">
        <v>45456.47419259259</v>
      </c>
      <c r="W73" s="4" t="str">
        <f t="shared" si="2"/>
        <v>HP185-72,HP185-20240613,BDF 50uM AA2P scaffolds 1-4, D3 Ind #4 #G0.625,sample,liquid,EXP135,BDF 50uM AA2P scaffolds 1-4, D3 Ind #4 #G0.625,,1,,200,4,20,,,,,DS,,,,06-13-2024</v>
      </c>
      <c r="X73" s="15" t="str">
        <f t="shared" si="3"/>
        <v>HP185-72
BDF 50uM AA2P scaffolds 1-4, D3 Ind #4 #G0.625
12-30-1899</v>
      </c>
      <c r="Y73" s="15" t="str">
        <f t="shared" si="4"/>
        <v/>
      </c>
      <c r="Z73" s="15"/>
      <c r="AA73" s="15"/>
      <c r="AB73" s="15" t="str">
        <f t="shared" si="5"/>
        <v/>
      </c>
    </row>
    <row r="74" ht="15.75" customHeight="1">
      <c r="A74" s="9" t="str">
        <f>IFERROR(__xludf.DUMMYFUNCTION("if(B74="""","""", REGEXEXTRACT(B74,""(.*)-.*"") &amp; ""-"" &amp; COUNTA($B$2:B74))"),"HP185-73")</f>
        <v>HP185-73</v>
      </c>
      <c r="B74" s="10" t="s">
        <v>28</v>
      </c>
      <c r="C74" s="23" t="s">
        <v>105</v>
      </c>
      <c r="D74" s="10" t="s">
        <v>30</v>
      </c>
      <c r="E74" s="10" t="s">
        <v>31</v>
      </c>
      <c r="F74" s="10" t="s">
        <v>32</v>
      </c>
      <c r="G74" s="12" t="str">
        <f t="shared" si="1"/>
        <v>BDF 200uM AA2P scaffolds 1-4, D3 Ind #4 #G0.3125</v>
      </c>
      <c r="H74" s="17"/>
      <c r="I74" s="12">
        <v>1.0</v>
      </c>
      <c r="J74" s="16"/>
      <c r="K74" s="12">
        <v>200.0</v>
      </c>
      <c r="L74" s="12">
        <f t="array" ref="L74">if(D74= "standard", "", if(iserror(index(dilution_factor!$J$2:J387,match(dilution_factor!A74,$C$2:C387,0))),"",index(dilution_factor!$J$2:J387,match(dilution_factor!A74,$C$2:C387,0))))</f>
        <v>4</v>
      </c>
      <c r="M74" s="12">
        <v>20.0</v>
      </c>
      <c r="N74" s="16"/>
      <c r="O74" s="16"/>
      <c r="P74" s="16"/>
      <c r="Q74" s="16"/>
      <c r="R74" s="10" t="s">
        <v>33</v>
      </c>
      <c r="S74" s="10"/>
      <c r="T74" s="10"/>
      <c r="U74" s="10"/>
      <c r="V74" s="14">
        <v>45456.47419259259</v>
      </c>
      <c r="W74" s="4" t="str">
        <f t="shared" si="2"/>
        <v>HP185-73,HP185-20240613,BDF 200uM AA2P scaffolds 1-4, D3 Ind #4 #G0.3125,sample,liquid,EXP135,BDF 200uM AA2P scaffolds 1-4, D3 Ind #4 #G0.3125,,1,,200,4,20,,,,,DS,,,,06-13-2024</v>
      </c>
      <c r="X74" s="15" t="str">
        <f t="shared" si="3"/>
        <v>HP185-73
BDF 200uM AA2P scaffolds 1-4, D3 Ind #4 #G0.3125
12-30-1899</v>
      </c>
      <c r="Y74" s="15" t="str">
        <f t="shared" si="4"/>
        <v/>
      </c>
      <c r="Z74" s="15"/>
      <c r="AA74" s="15"/>
      <c r="AB74" s="15" t="str">
        <f t="shared" si="5"/>
        <v/>
      </c>
    </row>
    <row r="75" ht="15.75" customHeight="1">
      <c r="A75" s="9" t="str">
        <f>IFERROR(__xludf.DUMMYFUNCTION("if(B75="""","""", REGEXEXTRACT(B75,""(.*)-.*"") &amp; ""-"" &amp; COUNTA($B$2:B75))"),"HP185-74")</f>
        <v>HP185-74</v>
      </c>
      <c r="B75" s="10" t="s">
        <v>28</v>
      </c>
      <c r="C75" s="24" t="s">
        <v>106</v>
      </c>
      <c r="D75" s="10" t="s">
        <v>30</v>
      </c>
      <c r="E75" s="10" t="s">
        <v>31</v>
      </c>
      <c r="F75" s="10" t="s">
        <v>32</v>
      </c>
      <c r="G75" s="12" t="str">
        <f t="shared" si="1"/>
        <v>BDF 50uM AA2P scaffolds 1-4, D5 Ind #4 #G0.15625</v>
      </c>
      <c r="H75" s="17"/>
      <c r="I75" s="12">
        <v>1.0</v>
      </c>
      <c r="J75" s="16"/>
      <c r="K75" s="12">
        <v>200.0</v>
      </c>
      <c r="L75" s="12">
        <f t="array" ref="L75">if(D75= "standard", "", if(iserror(index(dilution_factor!$J$2:J387,match(dilution_factor!A75,$C$2:C387,0))),"",index(dilution_factor!$J$2:J387,match(dilution_factor!A75,$C$2:C387,0))))</f>
        <v>4</v>
      </c>
      <c r="M75" s="12">
        <v>20.0</v>
      </c>
      <c r="N75" s="16"/>
      <c r="O75" s="16"/>
      <c r="P75" s="16"/>
      <c r="Q75" s="16"/>
      <c r="R75" s="10" t="s">
        <v>33</v>
      </c>
      <c r="S75" s="10"/>
      <c r="T75" s="10"/>
      <c r="U75" s="10"/>
      <c r="V75" s="14">
        <v>45456.47419259259</v>
      </c>
      <c r="W75" s="4" t="str">
        <f t="shared" si="2"/>
        <v>HP185-74,HP185-20240613,BDF 50uM AA2P scaffolds 1-4, D5 Ind #4 #G0.15625,sample,liquid,EXP135,BDF 50uM AA2P scaffolds 1-4, D5 Ind #4 #G0.15625,,1,,200,4,20,,,,,DS,,,,06-13-2024</v>
      </c>
      <c r="X75" s="15" t="str">
        <f t="shared" si="3"/>
        <v>HP185-74
BDF 50uM AA2P scaffolds 1-4, D5 Ind #4 #G0.15625
12-30-1899</v>
      </c>
      <c r="Y75" s="15" t="str">
        <f t="shared" si="4"/>
        <v/>
      </c>
      <c r="Z75" s="15"/>
      <c r="AA75" s="15"/>
      <c r="AB75" s="15" t="str">
        <f t="shared" si="5"/>
        <v/>
      </c>
    </row>
    <row r="76" ht="15.75" customHeight="1">
      <c r="A76" s="9" t="str">
        <f>IFERROR(__xludf.DUMMYFUNCTION("if(B76="""","""", REGEXEXTRACT(B76,""(.*)-.*"") &amp; ""-"" &amp; COUNTA($B$2:B76))"),"HP185-75")</f>
        <v>HP185-75</v>
      </c>
      <c r="B76" s="10" t="s">
        <v>28</v>
      </c>
      <c r="C76" s="21" t="s">
        <v>107</v>
      </c>
      <c r="D76" s="10" t="s">
        <v>30</v>
      </c>
      <c r="E76" s="10" t="s">
        <v>31</v>
      </c>
      <c r="F76" s="10" t="s">
        <v>32</v>
      </c>
      <c r="G76" s="12" t="str">
        <f t="shared" si="1"/>
        <v>BDF 100uM AA2P scaffolds 1-4, D10 Ind #1</v>
      </c>
      <c r="H76" s="17"/>
      <c r="I76" s="12">
        <v>1.0</v>
      </c>
      <c r="J76" s="16"/>
      <c r="K76" s="12">
        <v>200.0</v>
      </c>
      <c r="L76" s="12">
        <f t="array" ref="L76">if(D76= "standard", "", if(iserror(index(dilution_factor!$J$2:J387,match(dilution_factor!A76,$C$2:C387,0))),"",index(dilution_factor!$J$2:J387,match(dilution_factor!A76,$C$2:C387,0))))</f>
        <v>4</v>
      </c>
      <c r="M76" s="12">
        <v>20.0</v>
      </c>
      <c r="N76" s="16"/>
      <c r="O76" s="16"/>
      <c r="P76" s="16"/>
      <c r="Q76" s="16"/>
      <c r="R76" s="10" t="s">
        <v>33</v>
      </c>
      <c r="S76" s="10"/>
      <c r="T76" s="10"/>
      <c r="U76" s="10"/>
      <c r="V76" s="14">
        <v>45456.47419259259</v>
      </c>
      <c r="W76" s="4" t="str">
        <f t="shared" si="2"/>
        <v>HP185-75,HP185-20240613,BDF 100uM AA2P scaffolds 1-4, D10 Ind #1,sample,liquid,EXP135,BDF 100uM AA2P scaffolds 1-4, D10 Ind #1,,1,,200,4,20,,,,,DS,,,,06-13-2024</v>
      </c>
      <c r="X76" s="15" t="str">
        <f t="shared" si="3"/>
        <v>HP185-75
BDF 100uM AA2P scaffolds 1-4, D10 Ind #1
12-30-1899</v>
      </c>
      <c r="Y76" s="15" t="str">
        <f t="shared" si="4"/>
        <v/>
      </c>
      <c r="Z76" s="15"/>
      <c r="AA76" s="15"/>
      <c r="AB76" s="15" t="str">
        <f t="shared" si="5"/>
        <v/>
      </c>
    </row>
    <row r="77" ht="15.75" customHeight="1">
      <c r="A77" s="9" t="str">
        <f>IFERROR(__xludf.DUMMYFUNCTION("if(B77="""","""", REGEXEXTRACT(B77,""(.*)-.*"") &amp; ""-"" &amp; COUNTA($B$2:B77))"),"HP185-76")</f>
        <v>HP185-76</v>
      </c>
      <c r="B77" s="10" t="s">
        <v>28</v>
      </c>
      <c r="C77" s="21" t="s">
        <v>108</v>
      </c>
      <c r="D77" s="10" t="s">
        <v>30</v>
      </c>
      <c r="E77" s="10" t="s">
        <v>31</v>
      </c>
      <c r="F77" s="10" t="s">
        <v>32</v>
      </c>
      <c r="G77" s="12" t="str">
        <f t="shared" si="1"/>
        <v>BDF 250uM AA2P scaffolds 1-4, D10 Ind #1</v>
      </c>
      <c r="H77" s="17"/>
      <c r="I77" s="12">
        <v>1.0</v>
      </c>
      <c r="J77" s="16"/>
      <c r="K77" s="12">
        <v>200.0</v>
      </c>
      <c r="L77" s="12">
        <f t="array" ref="L77">if(D77= "standard", "", if(iserror(index(dilution_factor!$J$2:J387,match(dilution_factor!A77,$C$2:C387,0))),"",index(dilution_factor!$J$2:J387,match(dilution_factor!A77,$C$2:C387,0))))</f>
        <v>4</v>
      </c>
      <c r="M77" s="12">
        <v>20.0</v>
      </c>
      <c r="N77" s="16"/>
      <c r="O77" s="16"/>
      <c r="P77" s="16"/>
      <c r="Q77" s="16"/>
      <c r="R77" s="10" t="s">
        <v>33</v>
      </c>
      <c r="S77" s="10"/>
      <c r="T77" s="10"/>
      <c r="U77" s="10"/>
      <c r="V77" s="14">
        <v>45456.47419259259</v>
      </c>
      <c r="W77" s="4" t="str">
        <f t="shared" si="2"/>
        <v>HP185-76,HP185-20240613,BDF 250uM AA2P scaffolds 1-4, D10 Ind #1,sample,liquid,EXP135,BDF 250uM AA2P scaffolds 1-4, D10 Ind #1,,1,,200,4,20,,,,,DS,,,,06-13-2024</v>
      </c>
      <c r="X77" s="15" t="str">
        <f t="shared" si="3"/>
        <v>HP185-76
BDF 250uM AA2P scaffolds 1-4, D10 Ind #1
12-30-1899</v>
      </c>
      <c r="Y77" s="15" t="str">
        <f t="shared" si="4"/>
        <v/>
      </c>
      <c r="Z77" s="15"/>
      <c r="AA77" s="15"/>
      <c r="AB77" s="15" t="str">
        <f t="shared" si="5"/>
        <v/>
      </c>
    </row>
    <row r="78" ht="15.75" customHeight="1">
      <c r="A78" s="9" t="str">
        <f>IFERROR(__xludf.DUMMYFUNCTION("if(B78="""","""", REGEXEXTRACT(B78,""(.*)-.*"") &amp; ""-"" &amp; COUNTA($B$2:B78))"),"HP185-77")</f>
        <v>HP185-77</v>
      </c>
      <c r="B78" s="10" t="s">
        <v>28</v>
      </c>
      <c r="C78" s="22" t="s">
        <v>109</v>
      </c>
      <c r="D78" s="10" t="s">
        <v>30</v>
      </c>
      <c r="E78" s="10" t="s">
        <v>31</v>
      </c>
      <c r="F78" s="10" t="s">
        <v>32</v>
      </c>
      <c r="G78" s="12" t="str">
        <f t="shared" si="1"/>
        <v>BDF 100uM AA2P scaffolds 1-4, D3 Ind #1 #G0.625</v>
      </c>
      <c r="H78" s="17"/>
      <c r="I78" s="12">
        <v>1.0</v>
      </c>
      <c r="J78" s="16"/>
      <c r="K78" s="12">
        <v>200.0</v>
      </c>
      <c r="L78" s="12">
        <f t="array" ref="L78">if(D78= "standard", "", if(iserror(index(dilution_factor!$J$2:J387,match(dilution_factor!A78,$C$2:C387,0))),"",index(dilution_factor!$J$2:J387,match(dilution_factor!A78,$C$2:C387,0))))</f>
        <v>4</v>
      </c>
      <c r="M78" s="12">
        <v>20.0</v>
      </c>
      <c r="N78" s="16"/>
      <c r="O78" s="16"/>
      <c r="P78" s="16"/>
      <c r="Q78" s="16"/>
      <c r="R78" s="10" t="s">
        <v>33</v>
      </c>
      <c r="S78" s="10"/>
      <c r="T78" s="10"/>
      <c r="U78" s="10"/>
      <c r="V78" s="14">
        <v>45456.47419259259</v>
      </c>
      <c r="W78" s="4" t="str">
        <f t="shared" si="2"/>
        <v>HP185-77,HP185-20240613,BDF 100uM AA2P scaffolds 1-4, D3 Ind #1 #G0.625,sample,liquid,EXP135,BDF 100uM AA2P scaffolds 1-4, D3 Ind #1 #G0.625,,1,,200,4,20,,,,,DS,,,,06-13-2024</v>
      </c>
      <c r="X78" s="15" t="str">
        <f t="shared" si="3"/>
        <v>HP185-77
BDF 100uM AA2P scaffolds 1-4, D3 Ind #1 #G0.625
12-30-1899</v>
      </c>
      <c r="Y78" s="15" t="str">
        <f t="shared" si="4"/>
        <v/>
      </c>
      <c r="Z78" s="15"/>
      <c r="AA78" s="15"/>
      <c r="AB78" s="15" t="str">
        <f t="shared" si="5"/>
        <v/>
      </c>
    </row>
    <row r="79" ht="15.75" customHeight="1">
      <c r="A79" s="9" t="str">
        <f>IFERROR(__xludf.DUMMYFUNCTION("if(B79="""","""", REGEXEXTRACT(B79,""(.*)-.*"") &amp; ""-"" &amp; COUNTA($B$2:B79))"),"HP185-78")</f>
        <v>HP185-78</v>
      </c>
      <c r="B79" s="10" t="s">
        <v>28</v>
      </c>
      <c r="C79" s="23" t="s">
        <v>110</v>
      </c>
      <c r="D79" s="10" t="s">
        <v>30</v>
      </c>
      <c r="E79" s="10" t="s">
        <v>31</v>
      </c>
      <c r="F79" s="10" t="s">
        <v>32</v>
      </c>
      <c r="G79" s="12" t="str">
        <f t="shared" si="1"/>
        <v>BDF 250uM AA2P scaffolds 1-4, D3 Ind #1 #G0.3125</v>
      </c>
      <c r="H79" s="17"/>
      <c r="I79" s="12">
        <v>1.0</v>
      </c>
      <c r="J79" s="16"/>
      <c r="K79" s="12">
        <v>200.0</v>
      </c>
      <c r="L79" s="12">
        <f t="array" ref="L79">if(D79= "standard", "", if(iserror(index(dilution_factor!$J$2:J387,match(dilution_factor!A79,$C$2:C387,0))),"",index(dilution_factor!$J$2:J387,match(dilution_factor!A79,$C$2:C387,0))))</f>
        <v>4</v>
      </c>
      <c r="M79" s="12">
        <v>20.0</v>
      </c>
      <c r="N79" s="16"/>
      <c r="O79" s="16"/>
      <c r="P79" s="16"/>
      <c r="Q79" s="16"/>
      <c r="R79" s="10" t="s">
        <v>33</v>
      </c>
      <c r="S79" s="10"/>
      <c r="T79" s="10"/>
      <c r="U79" s="10"/>
      <c r="V79" s="14">
        <v>45456.47419259259</v>
      </c>
      <c r="W79" s="4" t="str">
        <f t="shared" si="2"/>
        <v>HP185-78,HP185-20240613,BDF 250uM AA2P scaffolds 1-4, D3 Ind #1 #G0.3125,sample,liquid,EXP135,BDF 250uM AA2P scaffolds 1-4, D3 Ind #1 #G0.3125,,1,,200,4,20,,,,,DS,,,,06-13-2024</v>
      </c>
      <c r="X79" s="15" t="str">
        <f t="shared" si="3"/>
        <v>HP185-78
BDF 250uM AA2P scaffolds 1-4, D3 Ind #1 #G0.3125
12-30-1899</v>
      </c>
      <c r="Y79" s="15" t="str">
        <f t="shared" si="4"/>
        <v/>
      </c>
      <c r="Z79" s="15"/>
      <c r="AA79" s="15"/>
      <c r="AB79" s="15" t="str">
        <f t="shared" si="5"/>
        <v/>
      </c>
    </row>
    <row r="80" ht="15.75" customHeight="1">
      <c r="A80" s="9" t="str">
        <f>IFERROR(__xludf.DUMMYFUNCTION("if(B80="""","""", REGEXEXTRACT(B80,""(.*)-.*"") &amp; ""-"" &amp; COUNTA($B$2:B80))"),"HP185-79")</f>
        <v>HP185-79</v>
      </c>
      <c r="B80" s="10" t="s">
        <v>28</v>
      </c>
      <c r="C80" s="24" t="s">
        <v>111</v>
      </c>
      <c r="D80" s="10" t="s">
        <v>30</v>
      </c>
      <c r="E80" s="10" t="s">
        <v>31</v>
      </c>
      <c r="F80" s="10" t="s">
        <v>32</v>
      </c>
      <c r="G80" s="12" t="str">
        <f t="shared" si="1"/>
        <v>BDF 100uM AA2P scaffolds 1-4, D5 Ind #1 #G0.15625</v>
      </c>
      <c r="H80" s="17"/>
      <c r="I80" s="12">
        <v>1.0</v>
      </c>
      <c r="J80" s="16"/>
      <c r="K80" s="12">
        <v>200.0</v>
      </c>
      <c r="L80" s="12">
        <f t="array" ref="L80">if(D80= "standard", "", if(iserror(index(dilution_factor!$J$2:J387,match(dilution_factor!A80,$C$2:C387,0))),"",index(dilution_factor!$J$2:J387,match(dilution_factor!A80,$C$2:C387,0))))</f>
        <v>4</v>
      </c>
      <c r="M80" s="12">
        <v>20.0</v>
      </c>
      <c r="N80" s="16"/>
      <c r="O80" s="16"/>
      <c r="P80" s="16"/>
      <c r="Q80" s="16"/>
      <c r="R80" s="10" t="s">
        <v>33</v>
      </c>
      <c r="S80" s="10"/>
      <c r="T80" s="10"/>
      <c r="U80" s="10"/>
      <c r="V80" s="14">
        <v>45456.47419259259</v>
      </c>
      <c r="W80" s="4" t="str">
        <f t="shared" si="2"/>
        <v>HP185-79,HP185-20240613,BDF 100uM AA2P scaffolds 1-4, D5 Ind #1 #G0.15625,sample,liquid,EXP135,BDF 100uM AA2P scaffolds 1-4, D5 Ind #1 #G0.15625,,1,,200,4,20,,,,,DS,,,,06-13-2024</v>
      </c>
      <c r="X80" s="15" t="str">
        <f t="shared" si="3"/>
        <v>HP185-79
BDF 100uM AA2P scaffolds 1-4, D5 Ind #1 #G0.15625
12-30-1899</v>
      </c>
      <c r="Y80" s="15" t="str">
        <f t="shared" si="4"/>
        <v/>
      </c>
      <c r="Z80" s="15"/>
      <c r="AA80" s="15"/>
      <c r="AB80" s="15" t="str">
        <f t="shared" si="5"/>
        <v/>
      </c>
    </row>
    <row r="81" ht="15.75" customHeight="1">
      <c r="A81" s="9" t="str">
        <f>IFERROR(__xludf.DUMMYFUNCTION("if(B81="""","""", REGEXEXTRACT(B81,""(.*)-.*"") &amp; ""-"" &amp; COUNTA($B$2:B81))"),"HP185-80")</f>
        <v>HP185-80</v>
      </c>
      <c r="B81" s="10" t="s">
        <v>28</v>
      </c>
      <c r="C81" s="21" t="s">
        <v>112</v>
      </c>
      <c r="D81" s="10" t="s">
        <v>30</v>
      </c>
      <c r="E81" s="10" t="s">
        <v>31</v>
      </c>
      <c r="F81" s="10" t="s">
        <v>32</v>
      </c>
      <c r="G81" s="12" t="str">
        <f t="shared" si="1"/>
        <v>BDF 100uM AA2P scaffolds 1-4, D10 Ind #2</v>
      </c>
      <c r="H81" s="17"/>
      <c r="I81" s="12">
        <v>1.0</v>
      </c>
      <c r="J81" s="16"/>
      <c r="K81" s="12">
        <v>200.0</v>
      </c>
      <c r="L81" s="12">
        <f t="array" ref="L81">if(D81= "standard", "", if(iserror(index(dilution_factor!$J$2:J387,match(dilution_factor!A81,$C$2:C387,0))),"",index(dilution_factor!$J$2:J387,match(dilution_factor!A81,$C$2:C387,0))))</f>
        <v>4</v>
      </c>
      <c r="M81" s="12">
        <v>20.0</v>
      </c>
      <c r="N81" s="16"/>
      <c r="O81" s="16"/>
      <c r="P81" s="16"/>
      <c r="Q81" s="16"/>
      <c r="R81" s="10" t="s">
        <v>33</v>
      </c>
      <c r="S81" s="10"/>
      <c r="T81" s="10"/>
      <c r="U81" s="10"/>
      <c r="V81" s="14">
        <v>45456.47419259259</v>
      </c>
      <c r="W81" s="4" t="str">
        <f t="shared" si="2"/>
        <v>HP185-80,HP185-20240613,BDF 100uM AA2P scaffolds 1-4, D10 Ind #2,sample,liquid,EXP135,BDF 100uM AA2P scaffolds 1-4, D10 Ind #2,,1,,200,4,20,,,,,DS,,,,06-13-2024</v>
      </c>
      <c r="X81" s="15" t="str">
        <f t="shared" si="3"/>
        <v>HP185-80
BDF 100uM AA2P scaffolds 1-4, D10 Ind #2
12-30-1899</v>
      </c>
      <c r="Y81" s="15" t="str">
        <f t="shared" si="4"/>
        <v/>
      </c>
      <c r="Z81" s="15"/>
      <c r="AA81" s="15"/>
      <c r="AB81" s="15" t="str">
        <f t="shared" si="5"/>
        <v/>
      </c>
    </row>
    <row r="82" ht="15.75" customHeight="1">
      <c r="A82" s="9" t="str">
        <f>IFERROR(__xludf.DUMMYFUNCTION("if(B82="""","""", REGEXEXTRACT(B82,""(.*)-.*"") &amp; ""-"" &amp; COUNTA($B$2:B82))"),"HP185-81")</f>
        <v>HP185-81</v>
      </c>
      <c r="B82" s="10" t="s">
        <v>28</v>
      </c>
      <c r="C82" s="21" t="s">
        <v>113</v>
      </c>
      <c r="D82" s="10" t="s">
        <v>30</v>
      </c>
      <c r="E82" s="10" t="s">
        <v>31</v>
      </c>
      <c r="F82" s="10" t="s">
        <v>32</v>
      </c>
      <c r="G82" s="12" t="str">
        <f t="shared" si="1"/>
        <v>BDF 250uM AA2P scaffolds 1-4, D10 Ind #2</v>
      </c>
      <c r="H82" s="17"/>
      <c r="I82" s="12">
        <v>1.0</v>
      </c>
      <c r="J82" s="16"/>
      <c r="K82" s="12">
        <v>200.0</v>
      </c>
      <c r="L82" s="12">
        <f t="array" ref="L82">if(D82= "standard", "", if(iserror(index(dilution_factor!$J$2:J387,match(dilution_factor!A82,$C$2:C387,0))),"",index(dilution_factor!$J$2:J387,match(dilution_factor!A82,$C$2:C387,0))))</f>
        <v>4</v>
      </c>
      <c r="M82" s="12">
        <v>20.0</v>
      </c>
      <c r="N82" s="16"/>
      <c r="O82" s="16"/>
      <c r="P82" s="16"/>
      <c r="Q82" s="16"/>
      <c r="R82" s="10" t="s">
        <v>33</v>
      </c>
      <c r="S82" s="10"/>
      <c r="T82" s="10"/>
      <c r="U82" s="10"/>
      <c r="V82" s="14">
        <v>45456.47419259259</v>
      </c>
      <c r="W82" s="4" t="str">
        <f t="shared" si="2"/>
        <v>HP185-81,HP185-20240613,BDF 250uM AA2P scaffolds 1-4, D10 Ind #2,sample,liquid,EXP135,BDF 250uM AA2P scaffolds 1-4, D10 Ind #2,,1,,200,4,20,,,,,DS,,,,06-13-2024</v>
      </c>
      <c r="X82" s="15" t="str">
        <f t="shared" si="3"/>
        <v>HP185-81
BDF 250uM AA2P scaffolds 1-4, D10 Ind #2
12-30-1899</v>
      </c>
      <c r="Y82" s="15" t="str">
        <f t="shared" si="4"/>
        <v/>
      </c>
      <c r="Z82" s="15"/>
      <c r="AA82" s="15"/>
      <c r="AB82" s="15" t="str">
        <f t="shared" si="5"/>
        <v/>
      </c>
    </row>
    <row r="83" ht="15.75" customHeight="1">
      <c r="A83" s="9" t="str">
        <f>IFERROR(__xludf.DUMMYFUNCTION("if(B83="""","""", REGEXEXTRACT(B83,""(.*)-.*"") &amp; ""-"" &amp; COUNTA($B$2:B83))"),"HP185-82")</f>
        <v>HP185-82</v>
      </c>
      <c r="B83" s="10" t="s">
        <v>28</v>
      </c>
      <c r="C83" s="22" t="s">
        <v>114</v>
      </c>
      <c r="D83" s="10" t="s">
        <v>30</v>
      </c>
      <c r="E83" s="10" t="s">
        <v>31</v>
      </c>
      <c r="F83" s="10" t="s">
        <v>32</v>
      </c>
      <c r="G83" s="12" t="str">
        <f t="shared" si="1"/>
        <v>BDF 100uM AA2P scaffolds 1-4, D3 Ind #2 #G0.625</v>
      </c>
      <c r="H83" s="17"/>
      <c r="I83" s="12">
        <v>1.0</v>
      </c>
      <c r="J83" s="16"/>
      <c r="K83" s="12">
        <v>200.0</v>
      </c>
      <c r="L83" s="12">
        <f t="array" ref="L83">if(D83= "standard", "", if(iserror(index(dilution_factor!$J$2:J387,match(dilution_factor!A83,$C$2:C387,0))),"",index(dilution_factor!$J$2:J387,match(dilution_factor!A83,$C$2:C387,0))))</f>
        <v>4</v>
      </c>
      <c r="M83" s="12">
        <v>20.0</v>
      </c>
      <c r="N83" s="16"/>
      <c r="O83" s="16"/>
      <c r="P83" s="16"/>
      <c r="Q83" s="16"/>
      <c r="R83" s="10" t="s">
        <v>33</v>
      </c>
      <c r="S83" s="10"/>
      <c r="T83" s="10"/>
      <c r="U83" s="10"/>
      <c r="V83" s="14">
        <v>45456.47419259259</v>
      </c>
      <c r="W83" s="4" t="str">
        <f t="shared" si="2"/>
        <v>HP185-82,HP185-20240613,BDF 100uM AA2P scaffolds 1-4, D3 Ind #2 #G0.625,sample,liquid,EXP135,BDF 100uM AA2P scaffolds 1-4, D3 Ind #2 #G0.625,,1,,200,4,20,,,,,DS,,,,06-13-2024</v>
      </c>
      <c r="X83" s="15" t="str">
        <f t="shared" si="3"/>
        <v>HP185-82
BDF 100uM AA2P scaffolds 1-4, D3 Ind #2 #G0.625
12-30-1899</v>
      </c>
      <c r="Y83" s="15" t="str">
        <f t="shared" si="4"/>
        <v/>
      </c>
      <c r="Z83" s="15"/>
      <c r="AA83" s="15"/>
      <c r="AB83" s="15" t="str">
        <f t="shared" si="5"/>
        <v/>
      </c>
    </row>
    <row r="84" ht="15.75" customHeight="1">
      <c r="A84" s="9" t="str">
        <f>IFERROR(__xludf.DUMMYFUNCTION("if(B84="""","""", REGEXEXTRACT(B84,""(.*)-.*"") &amp; ""-"" &amp; COUNTA($B$2:B84))"),"HP185-83")</f>
        <v>HP185-83</v>
      </c>
      <c r="B84" s="10" t="s">
        <v>28</v>
      </c>
      <c r="C84" s="23" t="s">
        <v>115</v>
      </c>
      <c r="D84" s="10" t="s">
        <v>30</v>
      </c>
      <c r="E84" s="10" t="s">
        <v>31</v>
      </c>
      <c r="F84" s="10" t="s">
        <v>32</v>
      </c>
      <c r="G84" s="12" t="str">
        <f t="shared" si="1"/>
        <v>BDF 250uM AA2P scaffolds 1-4, D3 Ind #2 #G0.3125</v>
      </c>
      <c r="H84" s="17"/>
      <c r="I84" s="12">
        <v>1.0</v>
      </c>
      <c r="J84" s="16"/>
      <c r="K84" s="12">
        <v>200.0</v>
      </c>
      <c r="L84" s="12">
        <f t="array" ref="L84">if(D84= "standard", "", if(iserror(index(dilution_factor!$J$2:J387,match(dilution_factor!A84,$C$2:C387,0))),"",index(dilution_factor!$J$2:J387,match(dilution_factor!A84,$C$2:C387,0))))</f>
        <v>4</v>
      </c>
      <c r="M84" s="12">
        <v>20.0</v>
      </c>
      <c r="N84" s="16"/>
      <c r="O84" s="16"/>
      <c r="P84" s="16"/>
      <c r="Q84" s="16"/>
      <c r="R84" s="10" t="s">
        <v>33</v>
      </c>
      <c r="S84" s="10"/>
      <c r="T84" s="10"/>
      <c r="U84" s="10"/>
      <c r="V84" s="14">
        <v>45456.47419259259</v>
      </c>
      <c r="W84" s="4" t="str">
        <f t="shared" si="2"/>
        <v>HP185-83,HP185-20240613,BDF 250uM AA2P scaffolds 1-4, D3 Ind #2 #G0.3125,sample,liquid,EXP135,BDF 250uM AA2P scaffolds 1-4, D3 Ind #2 #G0.3125,,1,,200,4,20,,,,,DS,,,,06-13-2024</v>
      </c>
      <c r="X84" s="15" t="str">
        <f t="shared" si="3"/>
        <v>HP185-83
BDF 250uM AA2P scaffolds 1-4, D3 Ind #2 #G0.3125
12-30-1899</v>
      </c>
      <c r="Y84" s="15" t="str">
        <f t="shared" si="4"/>
        <v/>
      </c>
      <c r="Z84" s="15"/>
      <c r="AA84" s="15"/>
      <c r="AB84" s="15" t="str">
        <f t="shared" si="5"/>
        <v/>
      </c>
    </row>
    <row r="85" ht="15.75" customHeight="1">
      <c r="A85" s="9" t="str">
        <f>IFERROR(__xludf.DUMMYFUNCTION("if(B85="""","""", REGEXEXTRACT(B85,""(.*)-.*"") &amp; ""-"" &amp; COUNTA($B$2:B85))"),"HP185-84")</f>
        <v>HP185-84</v>
      </c>
      <c r="B85" s="10" t="s">
        <v>28</v>
      </c>
      <c r="C85" s="24" t="s">
        <v>116</v>
      </c>
      <c r="D85" s="10" t="s">
        <v>30</v>
      </c>
      <c r="E85" s="10" t="s">
        <v>31</v>
      </c>
      <c r="F85" s="10" t="s">
        <v>32</v>
      </c>
      <c r="G85" s="12" t="str">
        <f t="shared" si="1"/>
        <v>BDF 100uM AA2P scaffolds 1-4, D5 Ind #2 #G0.15625</v>
      </c>
      <c r="H85" s="17"/>
      <c r="I85" s="12">
        <v>1.0</v>
      </c>
      <c r="J85" s="16"/>
      <c r="K85" s="12">
        <v>200.0</v>
      </c>
      <c r="L85" s="12">
        <f t="array" ref="L85">if(D85= "standard", "", if(iserror(index(dilution_factor!$J$2:J387,match(dilution_factor!A85,$C$2:C387,0))),"",index(dilution_factor!$J$2:J387,match(dilution_factor!A85,$C$2:C387,0))))</f>
        <v>4</v>
      </c>
      <c r="M85" s="12">
        <v>20.0</v>
      </c>
      <c r="N85" s="16"/>
      <c r="O85" s="16"/>
      <c r="P85" s="16"/>
      <c r="Q85" s="16"/>
      <c r="R85" s="10" t="s">
        <v>33</v>
      </c>
      <c r="S85" s="10"/>
      <c r="T85" s="10"/>
      <c r="U85" s="10"/>
      <c r="V85" s="14">
        <v>45456.47419259259</v>
      </c>
      <c r="W85" s="4" t="str">
        <f t="shared" si="2"/>
        <v>HP185-84,HP185-20240613,BDF 100uM AA2P scaffolds 1-4, D5 Ind #2 #G0.15625,sample,liquid,EXP135,BDF 100uM AA2P scaffolds 1-4, D5 Ind #2 #G0.15625,,1,,200,4,20,,,,,DS,,,,06-13-2024</v>
      </c>
      <c r="X85" s="15" t="str">
        <f t="shared" si="3"/>
        <v>HP185-84
BDF 100uM AA2P scaffolds 1-4, D5 Ind #2 #G0.15625
12-30-1899</v>
      </c>
      <c r="Y85" s="15" t="str">
        <f t="shared" si="4"/>
        <v/>
      </c>
      <c r="Z85" s="15"/>
      <c r="AA85" s="15"/>
      <c r="AB85" s="15" t="str">
        <f t="shared" si="5"/>
        <v/>
      </c>
    </row>
    <row r="86" ht="15.75" customHeight="1">
      <c r="A86" s="9" t="str">
        <f>IFERROR(__xludf.DUMMYFUNCTION("if(B86="""","""", REGEXEXTRACT(B86,""(.*)-.*"") &amp; ""-"" &amp; COUNTA($B$2:B86))"),"HP185-85")</f>
        <v>HP185-85</v>
      </c>
      <c r="B86" s="10" t="s">
        <v>28</v>
      </c>
      <c r="C86" s="21" t="s">
        <v>117</v>
      </c>
      <c r="D86" s="10" t="s">
        <v>30</v>
      </c>
      <c r="E86" s="10" t="s">
        <v>31</v>
      </c>
      <c r="F86" s="10" t="s">
        <v>32</v>
      </c>
      <c r="G86" s="12" t="str">
        <f t="shared" si="1"/>
        <v>BDF 100uM AA2P scaffolds 1-4, D10 Ind #3</v>
      </c>
      <c r="H86" s="17"/>
      <c r="I86" s="12">
        <v>1.0</v>
      </c>
      <c r="J86" s="16"/>
      <c r="K86" s="12">
        <v>200.0</v>
      </c>
      <c r="L86" s="12">
        <f t="array" ref="L86">if(D86= "standard", "", if(iserror(index(dilution_factor!$J$2:J387,match(dilution_factor!A86,$C$2:C387,0))),"",index(dilution_factor!$J$2:J387,match(dilution_factor!A86,$C$2:C387,0))))</f>
        <v>4</v>
      </c>
      <c r="M86" s="12">
        <v>20.0</v>
      </c>
      <c r="N86" s="16"/>
      <c r="O86" s="16"/>
      <c r="P86" s="16"/>
      <c r="Q86" s="16"/>
      <c r="R86" s="10" t="s">
        <v>33</v>
      </c>
      <c r="S86" s="10"/>
      <c r="T86" s="10"/>
      <c r="U86" s="10"/>
      <c r="V86" s="14">
        <v>45456.47419259259</v>
      </c>
      <c r="W86" s="4" t="str">
        <f t="shared" si="2"/>
        <v>HP185-85,HP185-20240613,BDF 100uM AA2P scaffolds 1-4, D10 Ind #3,sample,liquid,EXP135,BDF 100uM AA2P scaffolds 1-4, D10 Ind #3,,1,,200,4,20,,,,,DS,,,,06-13-2024</v>
      </c>
      <c r="X86" s="15" t="str">
        <f t="shared" si="3"/>
        <v>HP185-85
BDF 100uM AA2P scaffolds 1-4, D10 Ind #3
12-30-1899</v>
      </c>
      <c r="Y86" s="15" t="str">
        <f t="shared" si="4"/>
        <v/>
      </c>
      <c r="Z86" s="15"/>
      <c r="AA86" s="15"/>
      <c r="AB86" s="15" t="str">
        <f t="shared" si="5"/>
        <v/>
      </c>
    </row>
    <row r="87" ht="15.75" customHeight="1">
      <c r="A87" s="9" t="str">
        <f>IFERROR(__xludf.DUMMYFUNCTION("if(B87="""","""", REGEXEXTRACT(B87,""(.*)-.*"") &amp; ""-"" &amp; COUNTA($B$2:B87))"),"HP185-86")</f>
        <v>HP185-86</v>
      </c>
      <c r="B87" s="10" t="s">
        <v>28</v>
      </c>
      <c r="C87" s="21" t="s">
        <v>118</v>
      </c>
      <c r="D87" s="10" t="s">
        <v>30</v>
      </c>
      <c r="E87" s="10" t="s">
        <v>31</v>
      </c>
      <c r="F87" s="10" t="s">
        <v>32</v>
      </c>
      <c r="G87" s="12" t="str">
        <f t="shared" si="1"/>
        <v>BDF 250uM AA2P scaffolds 1-4, D10 Ind #3</v>
      </c>
      <c r="H87" s="17"/>
      <c r="I87" s="12">
        <v>1.0</v>
      </c>
      <c r="J87" s="16"/>
      <c r="K87" s="12">
        <v>200.0</v>
      </c>
      <c r="L87" s="12">
        <f t="array" ref="L87">if(D87= "standard", "", if(iserror(index(dilution_factor!$J$2:J387,match(dilution_factor!A87,$C$2:C387,0))),"",index(dilution_factor!$J$2:J387,match(dilution_factor!A87,$C$2:C387,0))))</f>
        <v>4</v>
      </c>
      <c r="M87" s="12">
        <v>20.0</v>
      </c>
      <c r="N87" s="16"/>
      <c r="O87" s="16"/>
      <c r="P87" s="16"/>
      <c r="Q87" s="16"/>
      <c r="R87" s="10" t="s">
        <v>33</v>
      </c>
      <c r="S87" s="10"/>
      <c r="T87" s="10"/>
      <c r="U87" s="10"/>
      <c r="V87" s="14">
        <v>45456.47419259259</v>
      </c>
      <c r="W87" s="4" t="str">
        <f t="shared" si="2"/>
        <v>HP185-86,HP185-20240613,BDF 250uM AA2P scaffolds 1-4, D10 Ind #3,sample,liquid,EXP135,BDF 250uM AA2P scaffolds 1-4, D10 Ind #3,,1,,200,4,20,,,,,DS,,,,06-13-2024</v>
      </c>
      <c r="X87" s="15" t="str">
        <f t="shared" si="3"/>
        <v>HP185-86
BDF 250uM AA2P scaffolds 1-4, D10 Ind #3
12-30-1899</v>
      </c>
      <c r="Y87" s="15" t="str">
        <f t="shared" si="4"/>
        <v/>
      </c>
      <c r="Z87" s="15"/>
      <c r="AA87" s="15"/>
      <c r="AB87" s="15" t="str">
        <f t="shared" si="5"/>
        <v/>
      </c>
    </row>
    <row r="88" ht="15.75" customHeight="1">
      <c r="A88" s="9" t="str">
        <f>IFERROR(__xludf.DUMMYFUNCTION("if(B88="""","""", REGEXEXTRACT(B88,""(.*)-.*"") &amp; ""-"" &amp; COUNTA($B$2:B88))"),"HP185-87")</f>
        <v>HP185-87</v>
      </c>
      <c r="B88" s="10" t="s">
        <v>28</v>
      </c>
      <c r="C88" s="22" t="s">
        <v>119</v>
      </c>
      <c r="D88" s="10" t="s">
        <v>30</v>
      </c>
      <c r="E88" s="10" t="s">
        <v>31</v>
      </c>
      <c r="F88" s="10" t="s">
        <v>32</v>
      </c>
      <c r="G88" s="12" t="str">
        <f t="shared" si="1"/>
        <v>BDF 100uM AA2P scaffolds 1-4, D3 Ind #3 #G0.625</v>
      </c>
      <c r="H88" s="17"/>
      <c r="I88" s="12">
        <v>1.0</v>
      </c>
      <c r="J88" s="16"/>
      <c r="K88" s="12">
        <v>200.0</v>
      </c>
      <c r="L88" s="12">
        <f t="array" ref="L88">if(D88= "standard", "", if(iserror(index(dilution_factor!$J$2:J387,match(dilution_factor!A88,$C$2:C387,0))),"",index(dilution_factor!$J$2:J387,match(dilution_factor!A88,$C$2:C387,0))))</f>
        <v>4</v>
      </c>
      <c r="M88" s="12">
        <v>20.0</v>
      </c>
      <c r="N88" s="16"/>
      <c r="O88" s="16"/>
      <c r="P88" s="16"/>
      <c r="Q88" s="16"/>
      <c r="R88" s="10" t="s">
        <v>33</v>
      </c>
      <c r="S88" s="10"/>
      <c r="T88" s="10"/>
      <c r="U88" s="10"/>
      <c r="V88" s="14">
        <v>45456.47419259259</v>
      </c>
      <c r="W88" s="4" t="str">
        <f t="shared" si="2"/>
        <v>HP185-87,HP185-20240613,BDF 100uM AA2P scaffolds 1-4, D3 Ind #3 #G0.625,sample,liquid,EXP135,BDF 100uM AA2P scaffolds 1-4, D3 Ind #3 #G0.625,,1,,200,4,20,,,,,DS,,,,06-13-2024</v>
      </c>
      <c r="X88" s="15" t="str">
        <f t="shared" si="3"/>
        <v>HP185-87
BDF 100uM AA2P scaffolds 1-4, D3 Ind #3 #G0.625
12-30-1899</v>
      </c>
      <c r="Y88" s="15" t="str">
        <f t="shared" si="4"/>
        <v/>
      </c>
      <c r="Z88" s="15"/>
      <c r="AA88" s="15"/>
      <c r="AB88" s="15" t="str">
        <f t="shared" si="5"/>
        <v/>
      </c>
    </row>
    <row r="89" ht="15.75" customHeight="1">
      <c r="A89" s="9" t="str">
        <f>IFERROR(__xludf.DUMMYFUNCTION("if(B89="""","""", REGEXEXTRACT(B89,""(.*)-.*"") &amp; ""-"" &amp; COUNTA($B$2:B89))"),"HP185-88")</f>
        <v>HP185-88</v>
      </c>
      <c r="B89" s="10" t="s">
        <v>28</v>
      </c>
      <c r="C89" s="23" t="s">
        <v>120</v>
      </c>
      <c r="D89" s="10" t="s">
        <v>30</v>
      </c>
      <c r="E89" s="10" t="s">
        <v>31</v>
      </c>
      <c r="F89" s="10" t="s">
        <v>32</v>
      </c>
      <c r="G89" s="12" t="str">
        <f t="shared" si="1"/>
        <v>BDF 250uM AA2P scaffolds 1-4, D3 Ind #3 #G0.3125</v>
      </c>
      <c r="H89" s="17"/>
      <c r="I89" s="12">
        <v>1.0</v>
      </c>
      <c r="J89" s="16"/>
      <c r="K89" s="12">
        <v>200.0</v>
      </c>
      <c r="L89" s="12">
        <f t="array" ref="L89">if(D89= "standard", "", if(iserror(index(dilution_factor!$J$2:J387,match(dilution_factor!A89,$C$2:C387,0))),"",index(dilution_factor!$J$2:J387,match(dilution_factor!A89,$C$2:C387,0))))</f>
        <v>4</v>
      </c>
      <c r="M89" s="12">
        <v>20.0</v>
      </c>
      <c r="N89" s="16"/>
      <c r="O89" s="16"/>
      <c r="P89" s="16"/>
      <c r="Q89" s="16"/>
      <c r="R89" s="10" t="s">
        <v>33</v>
      </c>
      <c r="S89" s="10"/>
      <c r="T89" s="10"/>
      <c r="U89" s="10"/>
      <c r="V89" s="14">
        <v>45456.47419259259</v>
      </c>
      <c r="W89" s="4" t="str">
        <f t="shared" si="2"/>
        <v>HP185-88,HP185-20240613,BDF 250uM AA2P scaffolds 1-4, D3 Ind #3 #G0.3125,sample,liquid,EXP135,BDF 250uM AA2P scaffolds 1-4, D3 Ind #3 #G0.3125,,1,,200,4,20,,,,,DS,,,,06-13-2024</v>
      </c>
      <c r="X89" s="15" t="str">
        <f t="shared" si="3"/>
        <v>HP185-88
BDF 250uM AA2P scaffolds 1-4, D3 Ind #3 #G0.3125
12-30-1899</v>
      </c>
      <c r="Y89" s="15" t="str">
        <f t="shared" si="4"/>
        <v/>
      </c>
      <c r="Z89" s="15"/>
      <c r="AA89" s="15"/>
      <c r="AB89" s="15" t="str">
        <f t="shared" si="5"/>
        <v/>
      </c>
    </row>
    <row r="90" ht="15.75" customHeight="1">
      <c r="A90" s="9" t="str">
        <f>IFERROR(__xludf.DUMMYFUNCTION("if(B90="""","""", REGEXEXTRACT(B90,""(.*)-.*"") &amp; ""-"" &amp; COUNTA($B$2:B90))"),"HP185-89")</f>
        <v>HP185-89</v>
      </c>
      <c r="B90" s="10" t="s">
        <v>28</v>
      </c>
      <c r="C90" s="24" t="s">
        <v>121</v>
      </c>
      <c r="D90" s="10" t="s">
        <v>30</v>
      </c>
      <c r="E90" s="10" t="s">
        <v>31</v>
      </c>
      <c r="F90" s="10" t="s">
        <v>32</v>
      </c>
      <c r="G90" s="12" t="str">
        <f t="shared" si="1"/>
        <v>BDF 100uM AA2P scaffolds 1-4, D5 Ind #3 #G0.15625</v>
      </c>
      <c r="H90" s="17"/>
      <c r="I90" s="12">
        <v>1.0</v>
      </c>
      <c r="J90" s="16"/>
      <c r="K90" s="12">
        <v>200.0</v>
      </c>
      <c r="L90" s="12">
        <f t="array" ref="L90">if(D90= "standard", "", if(iserror(index(dilution_factor!$J$2:J387,match(dilution_factor!A90,$C$2:C387,0))),"",index(dilution_factor!$J$2:J387,match(dilution_factor!A90,$C$2:C387,0))))</f>
        <v>4</v>
      </c>
      <c r="M90" s="12">
        <v>20.0</v>
      </c>
      <c r="N90" s="16"/>
      <c r="O90" s="16"/>
      <c r="P90" s="16"/>
      <c r="Q90" s="16"/>
      <c r="R90" s="10" t="s">
        <v>33</v>
      </c>
      <c r="S90" s="10"/>
      <c r="T90" s="10"/>
      <c r="U90" s="10"/>
      <c r="V90" s="14">
        <v>45456.47419259259</v>
      </c>
      <c r="W90" s="4" t="str">
        <f t="shared" si="2"/>
        <v>HP185-89,HP185-20240613,BDF 100uM AA2P scaffolds 1-4, D5 Ind #3 #G0.15625,sample,liquid,EXP135,BDF 100uM AA2P scaffolds 1-4, D5 Ind #3 #G0.15625,,1,,200,4,20,,,,,DS,,,,06-13-2024</v>
      </c>
      <c r="X90" s="15" t="str">
        <f t="shared" si="3"/>
        <v>HP185-89
BDF 100uM AA2P scaffolds 1-4, D5 Ind #3 #G0.15625
12-30-1899</v>
      </c>
      <c r="Y90" s="15" t="str">
        <f t="shared" si="4"/>
        <v/>
      </c>
      <c r="Z90" s="15"/>
      <c r="AA90" s="15"/>
      <c r="AB90" s="15" t="str">
        <f t="shared" si="5"/>
        <v/>
      </c>
    </row>
    <row r="91" ht="15.75" customHeight="1">
      <c r="A91" s="9" t="str">
        <f>IFERROR(__xludf.DUMMYFUNCTION("if(B91="""","""", REGEXEXTRACT(B91,""(.*)-.*"") &amp; ""-"" &amp; COUNTA($B$2:B91))"),"HP185-90")</f>
        <v>HP185-90</v>
      </c>
      <c r="B91" s="10" t="s">
        <v>28</v>
      </c>
      <c r="C91" s="21" t="s">
        <v>122</v>
      </c>
      <c r="D91" s="10" t="s">
        <v>30</v>
      </c>
      <c r="E91" s="10" t="s">
        <v>31</v>
      </c>
      <c r="F91" s="10" t="s">
        <v>32</v>
      </c>
      <c r="G91" s="12" t="str">
        <f t="shared" si="1"/>
        <v>BDF 100uM AA2P scaffolds 1-4, D10 Ind #4</v>
      </c>
      <c r="H91" s="17"/>
      <c r="I91" s="12">
        <v>1.0</v>
      </c>
      <c r="J91" s="16"/>
      <c r="K91" s="12">
        <v>200.0</v>
      </c>
      <c r="L91" s="12">
        <f t="array" ref="L91">if(D91= "standard", "", if(iserror(index(dilution_factor!$J$2:J387,match(dilution_factor!A91,$C$2:C387,0))),"",index(dilution_factor!$J$2:J387,match(dilution_factor!A91,$C$2:C387,0))))</f>
        <v>4</v>
      </c>
      <c r="M91" s="12">
        <v>20.0</v>
      </c>
      <c r="N91" s="16"/>
      <c r="O91" s="16"/>
      <c r="P91" s="16"/>
      <c r="Q91" s="16"/>
      <c r="R91" s="10" t="s">
        <v>33</v>
      </c>
      <c r="S91" s="10"/>
      <c r="T91" s="10"/>
      <c r="U91" s="10"/>
      <c r="V91" s="14">
        <v>45456.47419259259</v>
      </c>
      <c r="W91" s="4" t="str">
        <f t="shared" si="2"/>
        <v>HP185-90,HP185-20240613,BDF 100uM AA2P scaffolds 1-4, D10 Ind #4,sample,liquid,EXP135,BDF 100uM AA2P scaffolds 1-4, D10 Ind #4,,1,,200,4,20,,,,,DS,,,,06-13-2024</v>
      </c>
      <c r="X91" s="15" t="str">
        <f t="shared" si="3"/>
        <v>HP185-90
BDF 100uM AA2P scaffolds 1-4, D10 Ind #4
12-30-1899</v>
      </c>
      <c r="Y91" s="15" t="str">
        <f t="shared" si="4"/>
        <v/>
      </c>
      <c r="Z91" s="15"/>
      <c r="AA91" s="15"/>
      <c r="AB91" s="15" t="str">
        <f t="shared" si="5"/>
        <v/>
      </c>
    </row>
    <row r="92" ht="15.75" customHeight="1">
      <c r="A92" s="9" t="str">
        <f>IFERROR(__xludf.DUMMYFUNCTION("if(B92="""","""", REGEXEXTRACT(B92,""(.*)-.*"") &amp; ""-"" &amp; COUNTA($B$2:B92))"),"HP185-91")</f>
        <v>HP185-91</v>
      </c>
      <c r="B92" s="10" t="s">
        <v>28</v>
      </c>
      <c r="C92" s="21" t="s">
        <v>123</v>
      </c>
      <c r="D92" s="10" t="s">
        <v>30</v>
      </c>
      <c r="E92" s="10" t="s">
        <v>31</v>
      </c>
      <c r="F92" s="10" t="s">
        <v>32</v>
      </c>
      <c r="G92" s="12" t="str">
        <f t="shared" si="1"/>
        <v>BDF 250uM AA2P scaffolds 1-4, D10 Ind #4</v>
      </c>
      <c r="H92" s="17"/>
      <c r="I92" s="12">
        <v>1.0</v>
      </c>
      <c r="J92" s="16"/>
      <c r="K92" s="12">
        <v>200.0</v>
      </c>
      <c r="L92" s="12">
        <f t="array" ref="L92">if(D92= "standard", "", if(iserror(index(dilution_factor!$J$2:J387,match(dilution_factor!A92,$C$2:C387,0))),"",index(dilution_factor!$J$2:J387,match(dilution_factor!A92,$C$2:C387,0))))</f>
        <v>4</v>
      </c>
      <c r="M92" s="12">
        <v>20.0</v>
      </c>
      <c r="N92" s="16"/>
      <c r="O92" s="16"/>
      <c r="P92" s="16"/>
      <c r="Q92" s="16"/>
      <c r="R92" s="10" t="s">
        <v>33</v>
      </c>
      <c r="S92" s="10"/>
      <c r="T92" s="10"/>
      <c r="U92" s="10"/>
      <c r="V92" s="14">
        <v>45456.47419259259</v>
      </c>
      <c r="W92" s="4" t="str">
        <f t="shared" si="2"/>
        <v>HP185-91,HP185-20240613,BDF 250uM AA2P scaffolds 1-4, D10 Ind #4,sample,liquid,EXP135,BDF 250uM AA2P scaffolds 1-4, D10 Ind #4,,1,,200,4,20,,,,,DS,,,,06-13-2024</v>
      </c>
      <c r="X92" s="15" t="str">
        <f t="shared" si="3"/>
        <v>HP185-91
BDF 250uM AA2P scaffolds 1-4, D10 Ind #4
12-30-1899</v>
      </c>
      <c r="Y92" s="15" t="str">
        <f t="shared" si="4"/>
        <v/>
      </c>
      <c r="Z92" s="15"/>
      <c r="AA92" s="15"/>
      <c r="AB92" s="15" t="str">
        <f t="shared" si="5"/>
        <v/>
      </c>
    </row>
    <row r="93" ht="15.75" customHeight="1">
      <c r="A93" s="9" t="str">
        <f>IFERROR(__xludf.DUMMYFUNCTION("if(B93="""","""", REGEXEXTRACT(B93,""(.*)-.*"") &amp; ""-"" &amp; COUNTA($B$2:B93))"),"HP185-92")</f>
        <v>HP185-92</v>
      </c>
      <c r="B93" s="10" t="s">
        <v>28</v>
      </c>
      <c r="C93" s="22" t="s">
        <v>124</v>
      </c>
      <c r="D93" s="10" t="s">
        <v>30</v>
      </c>
      <c r="E93" s="10" t="s">
        <v>31</v>
      </c>
      <c r="F93" s="10" t="s">
        <v>32</v>
      </c>
      <c r="G93" s="12" t="str">
        <f t="shared" si="1"/>
        <v>BDF 100uM AA2P scaffolds 1-4, D3 Ind #4 #G0.625</v>
      </c>
      <c r="H93" s="17"/>
      <c r="I93" s="12">
        <v>1.0</v>
      </c>
      <c r="J93" s="16"/>
      <c r="K93" s="12">
        <v>200.0</v>
      </c>
      <c r="L93" s="12">
        <f t="array" ref="L93">if(D93= "standard", "", if(iserror(index(dilution_factor!$J$2:J387,match(dilution_factor!A93,$C$2:C387,0))),"",index(dilution_factor!$J$2:J387,match(dilution_factor!A93,$C$2:C387,0))))</f>
        <v>4</v>
      </c>
      <c r="M93" s="12">
        <v>20.0</v>
      </c>
      <c r="N93" s="16"/>
      <c r="O93" s="16"/>
      <c r="P93" s="16"/>
      <c r="Q93" s="16"/>
      <c r="R93" s="10" t="s">
        <v>33</v>
      </c>
      <c r="S93" s="10"/>
      <c r="T93" s="10"/>
      <c r="U93" s="10"/>
      <c r="V93" s="14">
        <v>45456.47419259259</v>
      </c>
      <c r="W93" s="4" t="str">
        <f t="shared" si="2"/>
        <v>HP185-92,HP185-20240613,BDF 100uM AA2P scaffolds 1-4, D3 Ind #4 #G0.625,sample,liquid,EXP135,BDF 100uM AA2P scaffolds 1-4, D3 Ind #4 #G0.625,,1,,200,4,20,,,,,DS,,,,06-13-2024</v>
      </c>
      <c r="X93" s="15" t="str">
        <f t="shared" si="3"/>
        <v>HP185-92
BDF 100uM AA2P scaffolds 1-4, D3 Ind #4 #G0.625
12-30-1899</v>
      </c>
      <c r="Y93" s="15"/>
      <c r="Z93" s="15"/>
      <c r="AA93" s="15"/>
      <c r="AB93" s="15"/>
    </row>
    <row r="94" ht="15.75" customHeight="1">
      <c r="A94" s="9" t="str">
        <f>IFERROR(__xludf.DUMMYFUNCTION("if(B94="""","""", REGEXEXTRACT(B94,""(.*)-.*"") &amp; ""-"" &amp; COUNTA($B$2:B94))"),"HP185-93")</f>
        <v>HP185-93</v>
      </c>
      <c r="B94" s="10" t="s">
        <v>28</v>
      </c>
      <c r="C94" s="23" t="s">
        <v>125</v>
      </c>
      <c r="D94" s="10" t="s">
        <v>30</v>
      </c>
      <c r="E94" s="10" t="s">
        <v>31</v>
      </c>
      <c r="F94" s="10" t="s">
        <v>32</v>
      </c>
      <c r="G94" s="12" t="str">
        <f t="shared" si="1"/>
        <v>BDF 250uM AA2P scaffolds 1-4, D3 Ind #4 #G0.3125</v>
      </c>
      <c r="H94" s="17"/>
      <c r="I94" s="12">
        <v>1.0</v>
      </c>
      <c r="J94" s="16"/>
      <c r="K94" s="12">
        <v>200.0</v>
      </c>
      <c r="L94" s="12">
        <f t="array" ref="L94">if(D94= "standard", "", if(iserror(index(dilution_factor!$J$2:J387,match(dilution_factor!A94,$C$2:C387,0))),"",index(dilution_factor!$J$2:J387,match(dilution_factor!A94,$C$2:C387,0))))</f>
        <v>4</v>
      </c>
      <c r="M94" s="12">
        <v>20.0</v>
      </c>
      <c r="N94" s="16"/>
      <c r="O94" s="16"/>
      <c r="P94" s="16"/>
      <c r="Q94" s="16"/>
      <c r="R94" s="10" t="s">
        <v>33</v>
      </c>
      <c r="S94" s="10"/>
      <c r="T94" s="10"/>
      <c r="U94" s="10"/>
      <c r="V94" s="14">
        <v>45456.47419259259</v>
      </c>
      <c r="W94" s="4" t="str">
        <f t="shared" si="2"/>
        <v>HP185-93,HP185-20240613,BDF 250uM AA2P scaffolds 1-4, D3 Ind #4 #G0.3125,sample,liquid,EXP135,BDF 250uM AA2P scaffolds 1-4, D3 Ind #4 #G0.3125,,1,,200,4,20,,,,,DS,,,,06-13-2024</v>
      </c>
      <c r="X94" s="15" t="str">
        <f t="shared" si="3"/>
        <v>HP185-93
BDF 250uM AA2P scaffolds 1-4, D3 Ind #4 #G0.3125
12-30-1899</v>
      </c>
      <c r="Y94" s="15"/>
      <c r="Z94" s="15"/>
      <c r="AA94" s="15"/>
      <c r="AB94" s="15"/>
    </row>
    <row r="95" ht="15.75" customHeight="1">
      <c r="A95" s="9" t="str">
        <f>IFERROR(__xludf.DUMMYFUNCTION("if(B95="""","""", REGEXEXTRACT(B95,""(.*)-.*"") &amp; ""-"" &amp; COUNTA($B$2:B95))"),"HP185-94")</f>
        <v>HP185-94</v>
      </c>
      <c r="B95" s="10" t="s">
        <v>28</v>
      </c>
      <c r="C95" s="24" t="s">
        <v>126</v>
      </c>
      <c r="D95" s="10" t="s">
        <v>30</v>
      </c>
      <c r="E95" s="10" t="s">
        <v>31</v>
      </c>
      <c r="F95" s="10" t="s">
        <v>32</v>
      </c>
      <c r="G95" s="12" t="str">
        <f t="shared" si="1"/>
        <v>BDF 100uM AA2P scaffolds 1-4, D5 Ind #4 #G0.15625</v>
      </c>
      <c r="H95" s="17"/>
      <c r="I95" s="12">
        <v>1.0</v>
      </c>
      <c r="J95" s="16"/>
      <c r="K95" s="12">
        <v>200.0</v>
      </c>
      <c r="L95" s="12">
        <f t="array" ref="L95">if(D95= "standard", "", if(iserror(index(dilution_factor!$J$2:J387,match(dilution_factor!A95,$C$2:C387,0))),"",index(dilution_factor!$J$2:J387,match(dilution_factor!A95,$C$2:C387,0))))</f>
        <v>4</v>
      </c>
      <c r="M95" s="12">
        <v>20.0</v>
      </c>
      <c r="N95" s="16"/>
      <c r="O95" s="16"/>
      <c r="P95" s="16"/>
      <c r="Q95" s="16"/>
      <c r="R95" s="10" t="s">
        <v>33</v>
      </c>
      <c r="S95" s="10"/>
      <c r="T95" s="10"/>
      <c r="U95" s="10"/>
      <c r="V95" s="14">
        <v>45456.47419259259</v>
      </c>
      <c r="W95" s="4" t="str">
        <f t="shared" si="2"/>
        <v>HP185-94,HP185-20240613,BDF 100uM AA2P scaffolds 1-4, D5 Ind #4 #G0.15625,sample,liquid,EXP135,BDF 100uM AA2P scaffolds 1-4, D5 Ind #4 #G0.15625,,1,,200,4,20,,,,,DS,,,,06-13-2024</v>
      </c>
      <c r="X95" s="15" t="str">
        <f t="shared" si="3"/>
        <v>HP185-94
BDF 100uM AA2P scaffolds 1-4, D5 Ind #4 #G0.15625
12-30-1899</v>
      </c>
      <c r="Y95" s="15"/>
      <c r="Z95" s="15"/>
      <c r="AA95" s="15"/>
      <c r="AB95" s="15"/>
    </row>
    <row r="96" ht="15.75" customHeight="1">
      <c r="A96" s="9" t="str">
        <f>IFERROR(__xludf.DUMMYFUNCTION("if(B96="""","""", REGEXEXTRACT(B96,""(.*)-.*"") &amp; ""-"" &amp; COUNTA($B$2:B96))"),"HP185-95")</f>
        <v>HP185-95</v>
      </c>
      <c r="B96" s="10" t="s">
        <v>28</v>
      </c>
      <c r="C96" s="21" t="s">
        <v>127</v>
      </c>
      <c r="D96" s="10" t="s">
        <v>30</v>
      </c>
      <c r="E96" s="10" t="s">
        <v>31</v>
      </c>
      <c r="F96" s="10" t="s">
        <v>32</v>
      </c>
      <c r="G96" s="12" t="str">
        <f t="shared" si="1"/>
        <v>BDF 150uM AA2P scaffolds 1-4, D10 Ind #1</v>
      </c>
      <c r="H96" s="17"/>
      <c r="I96" s="12">
        <v>1.0</v>
      </c>
      <c r="J96" s="16"/>
      <c r="K96" s="12">
        <v>200.0</v>
      </c>
      <c r="L96" s="12">
        <f t="array" ref="L96">if(D96= "standard", "", if(iserror(index(dilution_factor!$J$2:J387,match(dilution_factor!A96,$C$2:C387,0))),"",index(dilution_factor!$J$2:J387,match(dilution_factor!A96,$C$2:C387,0))))</f>
        <v>4</v>
      </c>
      <c r="M96" s="12">
        <v>20.0</v>
      </c>
      <c r="N96" s="16"/>
      <c r="O96" s="16"/>
      <c r="P96" s="16"/>
      <c r="Q96" s="16"/>
      <c r="R96" s="10" t="s">
        <v>33</v>
      </c>
      <c r="S96" s="10"/>
      <c r="T96" s="10"/>
      <c r="U96" s="10"/>
      <c r="V96" s="14">
        <v>45456.47419259259</v>
      </c>
      <c r="W96" s="4" t="str">
        <f t="shared" si="2"/>
        <v>HP185-95,HP185-20240613,BDF 150uM AA2P scaffolds 1-4, D10 Ind #1,sample,liquid,EXP135,BDF 150uM AA2P scaffolds 1-4, D10 Ind #1,,1,,200,4,20,,,,,DS,,,,06-13-2024</v>
      </c>
      <c r="X96" s="15" t="str">
        <f t="shared" si="3"/>
        <v>HP185-95
BDF 150uM AA2P scaffolds 1-4, D10 Ind #1
12-30-1899</v>
      </c>
      <c r="Y96" s="15"/>
      <c r="Z96" s="15"/>
      <c r="AA96" s="15"/>
      <c r="AB96" s="15"/>
    </row>
    <row r="97" ht="15.75" customHeight="1">
      <c r="A97" s="9" t="str">
        <f>IFERROR(__xludf.DUMMYFUNCTION("if(B97="""","""", REGEXEXTRACT(B97,""(.*)-.*"") &amp; ""-"" &amp; COUNTA($B$2:B97))"),"HP185-96")</f>
        <v>HP185-96</v>
      </c>
      <c r="B97" s="10" t="s">
        <v>28</v>
      </c>
      <c r="C97" s="21" t="s">
        <v>128</v>
      </c>
      <c r="D97" s="10" t="s">
        <v>30</v>
      </c>
      <c r="E97" s="10" t="s">
        <v>31</v>
      </c>
      <c r="F97" s="10" t="s">
        <v>32</v>
      </c>
      <c r="G97" s="12" t="str">
        <f t="shared" si="1"/>
        <v>BDF 300uM AA2P scaffolds 1-4, D10 Ind #1</v>
      </c>
      <c r="H97" s="17"/>
      <c r="I97" s="12">
        <v>1.0</v>
      </c>
      <c r="J97" s="16"/>
      <c r="K97" s="12">
        <v>200.0</v>
      </c>
      <c r="L97" s="12">
        <f t="array" ref="L97">if(D97= "standard", "", if(iserror(index(dilution_factor!$J$2:J387,match(dilution_factor!A97,$C$2:C387,0))),"",index(dilution_factor!$J$2:J387,match(dilution_factor!A97,$C$2:C387,0))))</f>
        <v>4</v>
      </c>
      <c r="M97" s="12">
        <v>20.0</v>
      </c>
      <c r="N97" s="16"/>
      <c r="O97" s="16"/>
      <c r="P97" s="16"/>
      <c r="Q97" s="16"/>
      <c r="R97" s="10" t="s">
        <v>33</v>
      </c>
      <c r="S97" s="10"/>
      <c r="T97" s="10"/>
      <c r="U97" s="10"/>
      <c r="V97" s="14">
        <v>45456.47419259259</v>
      </c>
      <c r="W97" s="4" t="str">
        <f t="shared" si="2"/>
        <v>HP185-96,HP185-20240613,BDF 300uM AA2P scaffolds 1-4, D10 Ind #1,sample,liquid,EXP135,BDF 300uM AA2P scaffolds 1-4, D10 Ind #1,,1,,200,4,20,,,,,DS,,,,06-13-2024</v>
      </c>
      <c r="X97" s="15" t="str">
        <f t="shared" si="3"/>
        <v>HP185-96
BDF 300uM AA2P scaffolds 1-4, D10 Ind #1
12-30-1899</v>
      </c>
      <c r="Y97" s="15"/>
      <c r="Z97" s="15"/>
      <c r="AA97" s="15"/>
      <c r="AB97" s="15"/>
    </row>
    <row r="98" ht="15.75" customHeight="1">
      <c r="A98" s="9" t="str">
        <f>IFERROR(__xludf.DUMMYFUNCTION("if(B98="""","""", REGEXEXTRACT(B98,""(.*)-.*"") &amp; ""-"" &amp; COUNTA($B$2:B98))"),"HP185-97")</f>
        <v>HP185-97</v>
      </c>
      <c r="B98" s="10" t="s">
        <v>28</v>
      </c>
      <c r="C98" s="20" t="s">
        <v>129</v>
      </c>
      <c r="D98" s="10" t="s">
        <v>30</v>
      </c>
      <c r="E98" s="10" t="s">
        <v>31</v>
      </c>
      <c r="F98" s="10" t="s">
        <v>32</v>
      </c>
      <c r="G98" s="12" t="str">
        <f t="shared" si="1"/>
        <v>F4 50uM AA2P scaffolds 1-4, D3 Ind #1</v>
      </c>
      <c r="H98" s="17"/>
      <c r="I98" s="12">
        <v>1.0</v>
      </c>
      <c r="J98" s="16"/>
      <c r="K98" s="12">
        <v>200.0</v>
      </c>
      <c r="L98" s="12">
        <f t="array" ref="L98">if(D98= "standard", "", if(iserror(index(dilution_factor!$J$2:J387,match(dilution_factor!A98,$C$2:C387,0))),"",index(dilution_factor!$J$2:J387,match(dilution_factor!A98,$C$2:C387,0))))</f>
        <v>4</v>
      </c>
      <c r="M98" s="12">
        <v>20.0</v>
      </c>
      <c r="N98" s="16"/>
      <c r="O98" s="16"/>
      <c r="P98" s="16"/>
      <c r="Q98" s="16"/>
      <c r="R98" s="10" t="s">
        <v>33</v>
      </c>
      <c r="S98" s="10"/>
      <c r="T98" s="10"/>
      <c r="U98" s="10"/>
      <c r="V98" s="14">
        <v>45456.47419259259</v>
      </c>
      <c r="W98" s="4" t="str">
        <f t="shared" si="2"/>
        <v>HP185-97,HP185-20240613,F4 50uM AA2P scaffolds 1-4, D3 Ind #1,sample,liquid,EXP135,F4 50uM AA2P scaffolds 1-4, D3 Ind #1,,1,,200,4,20,,,,,DS,,,,06-13-2024</v>
      </c>
      <c r="X98" s="15" t="str">
        <f t="shared" si="3"/>
        <v>HP185-97
F4 50uM AA2P scaffolds 1-4, D3 Ind #1
12-30-1899</v>
      </c>
      <c r="Y98" s="15"/>
      <c r="Z98" s="15"/>
      <c r="AA98" s="15"/>
      <c r="AB98" s="15"/>
    </row>
    <row r="99" ht="15.75" customHeight="1">
      <c r="A99" s="9" t="str">
        <f>IFERROR(__xludf.DUMMYFUNCTION("if(B99="""","""", REGEXEXTRACT(B99,""(.*)-.*"") &amp; ""-"" &amp; COUNTA($B$2:B99))"),"HP185-98")</f>
        <v>HP185-98</v>
      </c>
      <c r="B99" s="10" t="s">
        <v>28</v>
      </c>
      <c r="C99" s="20" t="s">
        <v>130</v>
      </c>
      <c r="D99" s="10" t="s">
        <v>30</v>
      </c>
      <c r="E99" s="10" t="s">
        <v>31</v>
      </c>
      <c r="F99" s="10" t="s">
        <v>32</v>
      </c>
      <c r="G99" s="12" t="str">
        <f t="shared" si="1"/>
        <v>F4 250uM AA2P scaffolds 1-4, D3 Ind #1</v>
      </c>
      <c r="H99" s="17"/>
      <c r="I99" s="12">
        <v>1.0</v>
      </c>
      <c r="J99" s="16"/>
      <c r="K99" s="12">
        <v>200.0</v>
      </c>
      <c r="L99" s="12">
        <f t="array" ref="L99">if(D99= "standard", "", if(iserror(index(dilution_factor!$J$2:J387,match(dilution_factor!A99,$C$2:C387,0))),"",index(dilution_factor!$J$2:J387,match(dilution_factor!A99,$C$2:C387,0))))</f>
        <v>4</v>
      </c>
      <c r="M99" s="12">
        <v>20.0</v>
      </c>
      <c r="N99" s="16"/>
      <c r="O99" s="16"/>
      <c r="P99" s="16"/>
      <c r="Q99" s="16"/>
      <c r="R99" s="10" t="s">
        <v>33</v>
      </c>
      <c r="S99" s="10"/>
      <c r="T99" s="10"/>
      <c r="U99" s="10"/>
      <c r="V99" s="14">
        <v>45456.47419259259</v>
      </c>
      <c r="W99" s="4" t="str">
        <f t="shared" si="2"/>
        <v>HP185-98,HP185-20240613,F4 250uM AA2P scaffolds 1-4, D3 Ind #1,sample,liquid,EXP135,F4 250uM AA2P scaffolds 1-4, D3 Ind #1,,1,,200,4,20,,,,,DS,,,,06-13-2024</v>
      </c>
      <c r="X99" s="15" t="str">
        <f t="shared" si="3"/>
        <v>HP185-98
F4 250uM AA2P scaffolds 1-4, D3 Ind #1
12-30-1899</v>
      </c>
      <c r="Y99" s="15"/>
      <c r="Z99" s="15"/>
      <c r="AA99" s="15"/>
      <c r="AB99" s="15"/>
    </row>
    <row r="100" ht="15.75" customHeight="1">
      <c r="A100" s="9" t="str">
        <f>IFERROR(__xludf.DUMMYFUNCTION("if(B100="""","""", REGEXEXTRACT(B100,""(.*)-.*"") &amp; ""-"" &amp; COUNTA($B$2:B100))"),"HP185-99")</f>
        <v>HP185-99</v>
      </c>
      <c r="B100" s="10" t="s">
        <v>28</v>
      </c>
      <c r="C100" s="20" t="s">
        <v>131</v>
      </c>
      <c r="D100" s="10" t="s">
        <v>30</v>
      </c>
      <c r="E100" s="10" t="s">
        <v>31</v>
      </c>
      <c r="F100" s="10" t="s">
        <v>32</v>
      </c>
      <c r="G100" s="12" t="str">
        <f t="shared" si="1"/>
        <v>F4 200uM AA2P scaffolds 1-4, D6 Ind #1</v>
      </c>
      <c r="H100" s="17"/>
      <c r="I100" s="12">
        <v>1.0</v>
      </c>
      <c r="J100" s="16"/>
      <c r="K100" s="12">
        <v>200.0</v>
      </c>
      <c r="L100" s="12">
        <f t="array" ref="L100">if(D100= "standard", "", if(iserror(index(dilution_factor!$J$2:J387,match(dilution_factor!A100,$C$2:C387,0))),"",index(dilution_factor!$J$2:J387,match(dilution_factor!A100,$C$2:C387,0))))</f>
        <v>4</v>
      </c>
      <c r="M100" s="12">
        <v>20.0</v>
      </c>
      <c r="N100" s="16"/>
      <c r="O100" s="16"/>
      <c r="P100" s="16"/>
      <c r="Q100" s="16"/>
      <c r="R100" s="10" t="s">
        <v>33</v>
      </c>
      <c r="S100" s="10"/>
      <c r="T100" s="10"/>
      <c r="U100" s="10"/>
      <c r="V100" s="14">
        <v>45456.47419259259</v>
      </c>
      <c r="W100" s="4" t="str">
        <f t="shared" si="2"/>
        <v>HP185-99,HP185-20240613,F4 200uM AA2P scaffolds 1-4, D6 Ind #1,sample,liquid,EXP135,F4 200uM AA2P scaffolds 1-4, D6 Ind #1,,1,,200,4,20,,,,,DS,,,,06-13-2024</v>
      </c>
      <c r="X100" s="15" t="str">
        <f t="shared" si="3"/>
        <v>HP185-99
F4 200uM AA2P scaffolds 1-4, D6 Ind #1
12-30-1899</v>
      </c>
      <c r="Y100" s="15"/>
      <c r="Z100" s="15"/>
      <c r="AA100" s="15"/>
      <c r="AB100" s="15"/>
    </row>
    <row r="101" ht="15.75" customHeight="1">
      <c r="A101" s="9" t="str">
        <f>IFERROR(__xludf.DUMMYFUNCTION("if(B101="""","""", REGEXEXTRACT(B101,""(.*)-.*"") &amp; ""-"" &amp; COUNTA($B$2:B101))"),"HP185-100")</f>
        <v>HP185-100</v>
      </c>
      <c r="B101" s="10" t="s">
        <v>28</v>
      </c>
      <c r="C101" s="20" t="s">
        <v>132</v>
      </c>
      <c r="D101" s="10" t="s">
        <v>30</v>
      </c>
      <c r="E101" s="10" t="s">
        <v>31</v>
      </c>
      <c r="F101" s="10" t="s">
        <v>32</v>
      </c>
      <c r="G101" s="12" t="str">
        <f t="shared" si="1"/>
        <v>F4 150uM AA2P scaffolds 1-4, D8 Ind #1</v>
      </c>
      <c r="H101" s="17"/>
      <c r="I101" s="12">
        <v>1.0</v>
      </c>
      <c r="J101" s="16"/>
      <c r="K101" s="12">
        <v>200.0</v>
      </c>
      <c r="L101" s="12">
        <f t="array" ref="L101">if(D101= "standard", "", if(iserror(index(dilution_factor!$J$2:J387,match(dilution_factor!A101,$C$2:C387,0))),"",index(dilution_factor!$J$2:J387,match(dilution_factor!A101,$C$2:C387,0))))</f>
        <v>4</v>
      </c>
      <c r="M101" s="12">
        <v>20.0</v>
      </c>
      <c r="N101" s="16"/>
      <c r="O101" s="16"/>
      <c r="P101" s="16"/>
      <c r="Q101" s="16"/>
      <c r="R101" s="10" t="s">
        <v>33</v>
      </c>
      <c r="S101" s="10"/>
      <c r="T101" s="10"/>
      <c r="U101" s="10"/>
      <c r="V101" s="14">
        <v>45456.47419259259</v>
      </c>
      <c r="W101" s="4" t="str">
        <f t="shared" si="2"/>
        <v>HP185-100,HP185-20240613,F4 150uM AA2P scaffolds 1-4, D8 Ind #1,sample,liquid,EXP135,F4 150uM AA2P scaffolds 1-4, D8 Ind #1,,1,,200,4,20,,,,,DS,,,,06-13-2024</v>
      </c>
      <c r="X101" s="15" t="str">
        <f t="shared" si="3"/>
        <v>HP185-100
F4 150uM AA2P scaffolds 1-4, D8 Ind #1
12-30-1899</v>
      </c>
      <c r="Y101" s="15"/>
      <c r="Z101" s="15"/>
      <c r="AA101" s="15"/>
      <c r="AB101" s="15"/>
    </row>
    <row r="102" ht="15.75" customHeight="1">
      <c r="A102" s="9" t="str">
        <f>IFERROR(__xludf.DUMMYFUNCTION("if(B102="""","""", REGEXEXTRACT(B102,""(.*)-.*"") &amp; ""-"" &amp; COUNTA($B$2:B102))"),"HP185-101")</f>
        <v>HP185-101</v>
      </c>
      <c r="B102" s="10" t="s">
        <v>28</v>
      </c>
      <c r="C102" s="20" t="s">
        <v>133</v>
      </c>
      <c r="D102" s="10" t="s">
        <v>30</v>
      </c>
      <c r="E102" s="10" t="s">
        <v>31</v>
      </c>
      <c r="F102" s="10" t="s">
        <v>32</v>
      </c>
      <c r="G102" s="12" t="str">
        <f t="shared" si="1"/>
        <v>F4 100uM AA2P scaffolds 1-4, D10 Ind #1</v>
      </c>
      <c r="H102" s="17"/>
      <c r="I102" s="12">
        <v>1.0</v>
      </c>
      <c r="J102" s="16"/>
      <c r="K102" s="12">
        <v>200.0</v>
      </c>
      <c r="L102" s="12">
        <f t="array" ref="L102">if(D102= "standard", "", if(iserror(index(dilution_factor!$J$2:J387,match(dilution_factor!A102,$C$2:C387,0))),"",index(dilution_factor!$J$2:J387,match(dilution_factor!A102,$C$2:C387,0))))</f>
        <v>4</v>
      </c>
      <c r="M102" s="12">
        <v>20.0</v>
      </c>
      <c r="N102" s="16"/>
      <c r="O102" s="16"/>
      <c r="P102" s="16"/>
      <c r="Q102" s="16"/>
      <c r="R102" s="10" t="s">
        <v>33</v>
      </c>
      <c r="S102" s="10"/>
      <c r="T102" s="10"/>
      <c r="U102" s="10"/>
      <c r="V102" s="14">
        <v>45456.47419259259</v>
      </c>
      <c r="W102" s="4" t="str">
        <f t="shared" si="2"/>
        <v>HP185-101,HP185-20240613,F4 100uM AA2P scaffolds 1-4, D10 Ind #1,sample,liquid,EXP135,F4 100uM AA2P scaffolds 1-4, D10 Ind #1,,1,,200,4,20,,,,,DS,,,,06-13-2024</v>
      </c>
      <c r="X102" s="15" t="str">
        <f t="shared" si="3"/>
        <v>HP185-101
F4 100uM AA2P scaffolds 1-4, D10 Ind #1
12-30-1899</v>
      </c>
      <c r="Y102" s="15"/>
      <c r="Z102" s="15"/>
      <c r="AA102" s="15"/>
      <c r="AB102" s="15"/>
    </row>
    <row r="103" ht="15.75" customHeight="1">
      <c r="A103" s="9" t="str">
        <f>IFERROR(__xludf.DUMMYFUNCTION("if(B103="""","""", REGEXEXTRACT(B103,""(.*)-.*"") &amp; ""-"" &amp; COUNTA($B$2:B103))"),"HP185-102")</f>
        <v>HP185-102</v>
      </c>
      <c r="B103" s="10" t="s">
        <v>28</v>
      </c>
      <c r="C103" s="20" t="s">
        <v>134</v>
      </c>
      <c r="D103" s="10" t="s">
        <v>30</v>
      </c>
      <c r="E103" s="10" t="s">
        <v>31</v>
      </c>
      <c r="F103" s="10" t="s">
        <v>32</v>
      </c>
      <c r="G103" s="12" t="str">
        <f t="shared" si="1"/>
        <v>F4 50uM AA2P scaffolds 1-4, D13 Ind #1</v>
      </c>
      <c r="H103" s="17"/>
      <c r="I103" s="12">
        <v>1.0</v>
      </c>
      <c r="J103" s="16"/>
      <c r="K103" s="12">
        <v>200.0</v>
      </c>
      <c r="L103" s="12">
        <f t="array" ref="L103">if(D103= "standard", "", if(iserror(index(dilution_factor!$J$2:J387,match(dilution_factor!A103,$C$2:C387,0))),"",index(dilution_factor!$J$2:J387,match(dilution_factor!A103,$C$2:C387,0))))</f>
        <v>4</v>
      </c>
      <c r="M103" s="12">
        <v>20.0</v>
      </c>
      <c r="N103" s="16"/>
      <c r="O103" s="16"/>
      <c r="P103" s="16"/>
      <c r="Q103" s="16"/>
      <c r="R103" s="10" t="s">
        <v>33</v>
      </c>
      <c r="S103" s="10"/>
      <c r="T103" s="10"/>
      <c r="U103" s="10"/>
      <c r="V103" s="14">
        <v>45456.47419259259</v>
      </c>
      <c r="W103" s="4" t="str">
        <f t="shared" si="2"/>
        <v>HP185-102,HP185-20240613,F4 50uM AA2P scaffolds 1-4, D13 Ind #1,sample,liquid,EXP135,F4 50uM AA2P scaffolds 1-4, D13 Ind #1,,1,,200,4,20,,,,,DS,,,,06-13-2024</v>
      </c>
      <c r="X103" s="15" t="str">
        <f t="shared" si="3"/>
        <v>HP185-102
F4 50uM AA2P scaffolds 1-4, D13 Ind #1
12-30-1899</v>
      </c>
      <c r="Y103" s="15"/>
      <c r="Z103" s="15"/>
      <c r="AA103" s="15"/>
      <c r="AB103" s="15"/>
    </row>
    <row r="104" ht="15.75" customHeight="1">
      <c r="A104" s="9" t="str">
        <f>IFERROR(__xludf.DUMMYFUNCTION("if(B104="""","""", REGEXEXTRACT(B104,""(.*)-.*"") &amp; ""-"" &amp; COUNTA($B$2:B104))"),"HP185-103")</f>
        <v>HP185-103</v>
      </c>
      <c r="B104" s="10" t="s">
        <v>28</v>
      </c>
      <c r="C104" s="20" t="s">
        <v>135</v>
      </c>
      <c r="D104" s="10" t="s">
        <v>30</v>
      </c>
      <c r="E104" s="10" t="s">
        <v>31</v>
      </c>
      <c r="F104" s="10" t="s">
        <v>32</v>
      </c>
      <c r="G104" s="12" t="str">
        <f t="shared" si="1"/>
        <v>F4 50uM AA2P scaffolds 1-4, D3 Ind #2</v>
      </c>
      <c r="H104" s="17"/>
      <c r="I104" s="12">
        <v>1.0</v>
      </c>
      <c r="J104" s="16"/>
      <c r="K104" s="12">
        <v>200.0</v>
      </c>
      <c r="L104" s="12">
        <f t="array" ref="L104">if(D104= "standard", "", if(iserror(index(dilution_factor!$J$2:J387,match(dilution_factor!A104,$C$2:C387,0))),"",index(dilution_factor!$J$2:J387,match(dilution_factor!A104,$C$2:C387,0))))</f>
        <v>4</v>
      </c>
      <c r="M104" s="12">
        <v>20.0</v>
      </c>
      <c r="N104" s="16"/>
      <c r="O104" s="16"/>
      <c r="P104" s="16"/>
      <c r="Q104" s="16"/>
      <c r="R104" s="10" t="s">
        <v>33</v>
      </c>
      <c r="S104" s="10"/>
      <c r="T104" s="10"/>
      <c r="U104" s="10"/>
      <c r="V104" s="14">
        <v>45456.47419259259</v>
      </c>
      <c r="W104" s="4" t="str">
        <f t="shared" si="2"/>
        <v>HP185-103,HP185-20240613,F4 50uM AA2P scaffolds 1-4, D3 Ind #2,sample,liquid,EXP135,F4 50uM AA2P scaffolds 1-4, D3 Ind #2,,1,,200,4,20,,,,,DS,,,,06-13-2024</v>
      </c>
      <c r="X104" s="15" t="str">
        <f t="shared" si="3"/>
        <v>HP185-103
F4 50uM AA2P scaffolds 1-4, D3 Ind #2
12-30-1899</v>
      </c>
      <c r="Y104" s="15"/>
      <c r="Z104" s="15"/>
      <c r="AA104" s="15"/>
      <c r="AB104" s="15"/>
    </row>
    <row r="105" ht="15.75" customHeight="1">
      <c r="A105" s="9" t="str">
        <f>IFERROR(__xludf.DUMMYFUNCTION("if(B105="""","""", REGEXEXTRACT(B105,""(.*)-.*"") &amp; ""-"" &amp; COUNTA($B$2:B105))"),"HP185-104")</f>
        <v>HP185-104</v>
      </c>
      <c r="B105" s="10" t="s">
        <v>28</v>
      </c>
      <c r="C105" s="20" t="s">
        <v>136</v>
      </c>
      <c r="D105" s="10" t="s">
        <v>30</v>
      </c>
      <c r="E105" s="10" t="s">
        <v>31</v>
      </c>
      <c r="F105" s="10" t="s">
        <v>32</v>
      </c>
      <c r="G105" s="12" t="str">
        <f t="shared" si="1"/>
        <v>F4 250uM AA2P scaffolds 1-4, D3 Ind #2</v>
      </c>
      <c r="H105" s="17"/>
      <c r="I105" s="12">
        <v>1.0</v>
      </c>
      <c r="J105" s="16"/>
      <c r="K105" s="12">
        <v>200.0</v>
      </c>
      <c r="L105" s="12">
        <f t="array" ref="L105">if(D105= "standard", "", if(iserror(index(dilution_factor!$J$2:J387,match(dilution_factor!A105,$C$2:C387,0))),"",index(dilution_factor!$J$2:J387,match(dilution_factor!A105,$C$2:C387,0))))</f>
        <v>4</v>
      </c>
      <c r="M105" s="12">
        <v>20.0</v>
      </c>
      <c r="N105" s="16"/>
      <c r="O105" s="16"/>
      <c r="P105" s="16"/>
      <c r="Q105" s="16"/>
      <c r="R105" s="10" t="s">
        <v>33</v>
      </c>
      <c r="S105" s="10"/>
      <c r="T105" s="10"/>
      <c r="U105" s="10"/>
      <c r="V105" s="14">
        <v>45456.47419259259</v>
      </c>
      <c r="W105" s="4" t="str">
        <f t="shared" si="2"/>
        <v>HP185-104,HP185-20240613,F4 250uM AA2P scaffolds 1-4, D3 Ind #2,sample,liquid,EXP135,F4 250uM AA2P scaffolds 1-4, D3 Ind #2,,1,,200,4,20,,,,,DS,,,,06-13-2024</v>
      </c>
      <c r="X105" s="15" t="str">
        <f t="shared" si="3"/>
        <v>HP185-104
F4 250uM AA2P scaffolds 1-4, D3 Ind #2
12-30-1899</v>
      </c>
      <c r="Y105" s="15"/>
      <c r="Z105" s="15"/>
      <c r="AA105" s="15"/>
      <c r="AB105" s="15"/>
    </row>
    <row r="106" ht="15.75" customHeight="1">
      <c r="A106" s="9" t="str">
        <f>IFERROR(__xludf.DUMMYFUNCTION("if(B106="""","""", REGEXEXTRACT(B106,""(.*)-.*"") &amp; ""-"" &amp; COUNTA($B$2:B106))"),"HP185-105")</f>
        <v>HP185-105</v>
      </c>
      <c r="B106" s="10" t="s">
        <v>28</v>
      </c>
      <c r="C106" s="20" t="s">
        <v>137</v>
      </c>
      <c r="D106" s="10" t="s">
        <v>30</v>
      </c>
      <c r="E106" s="10" t="s">
        <v>31</v>
      </c>
      <c r="F106" s="10" t="s">
        <v>32</v>
      </c>
      <c r="G106" s="12" t="str">
        <f t="shared" si="1"/>
        <v>F4 200uM AA2P scaffolds 1-4, D6 Ind #2</v>
      </c>
      <c r="H106" s="17"/>
      <c r="I106" s="12">
        <v>1.0</v>
      </c>
      <c r="J106" s="16"/>
      <c r="K106" s="12">
        <v>200.0</v>
      </c>
      <c r="L106" s="12">
        <f t="array" ref="L106">if(D106= "standard", "", if(iserror(index(dilution_factor!$J$2:J387,match(dilution_factor!A106,$C$2:C387,0))),"",index(dilution_factor!$J$2:J387,match(dilution_factor!A106,$C$2:C387,0))))</f>
        <v>4</v>
      </c>
      <c r="M106" s="12">
        <v>20.0</v>
      </c>
      <c r="N106" s="16"/>
      <c r="O106" s="16"/>
      <c r="P106" s="16"/>
      <c r="Q106" s="16"/>
      <c r="R106" s="10" t="s">
        <v>33</v>
      </c>
      <c r="S106" s="10"/>
      <c r="T106" s="10"/>
      <c r="U106" s="10"/>
      <c r="V106" s="14">
        <v>45456.47419259259</v>
      </c>
      <c r="W106" s="4" t="str">
        <f t="shared" si="2"/>
        <v>HP185-105,HP185-20240613,F4 200uM AA2P scaffolds 1-4, D6 Ind #2,sample,liquid,EXP135,F4 200uM AA2P scaffolds 1-4, D6 Ind #2,,1,,200,4,20,,,,,DS,,,,06-13-2024</v>
      </c>
      <c r="X106" s="15" t="str">
        <f t="shared" si="3"/>
        <v>HP185-105
F4 200uM AA2P scaffolds 1-4, D6 Ind #2
12-30-1899</v>
      </c>
      <c r="Y106" s="15"/>
      <c r="Z106" s="15"/>
      <c r="AA106" s="15"/>
      <c r="AB106" s="15"/>
    </row>
    <row r="107" ht="15.75" customHeight="1">
      <c r="A107" s="9" t="str">
        <f>IFERROR(__xludf.DUMMYFUNCTION("if(B107="""","""", REGEXEXTRACT(B107,""(.*)-.*"") &amp; ""-"" &amp; COUNTA($B$2:B107))"),"HP185-106")</f>
        <v>HP185-106</v>
      </c>
      <c r="B107" s="10" t="s">
        <v>28</v>
      </c>
      <c r="C107" s="20" t="s">
        <v>138</v>
      </c>
      <c r="D107" s="10" t="s">
        <v>30</v>
      </c>
      <c r="E107" s="10" t="s">
        <v>31</v>
      </c>
      <c r="F107" s="10" t="s">
        <v>32</v>
      </c>
      <c r="G107" s="12" t="str">
        <f t="shared" si="1"/>
        <v>F4 150uM AA2P scaffolds 1-4, D8 Ind #2</v>
      </c>
      <c r="H107" s="17"/>
      <c r="I107" s="12">
        <v>1.0</v>
      </c>
      <c r="J107" s="16"/>
      <c r="K107" s="12">
        <v>200.0</v>
      </c>
      <c r="L107" s="12">
        <f t="array" ref="L107">if(D107= "standard", "", if(iserror(index(dilution_factor!$J$2:J387,match(dilution_factor!A107,$C$2:C387,0))),"",index(dilution_factor!$J$2:J387,match(dilution_factor!A107,$C$2:C387,0))))</f>
        <v>4</v>
      </c>
      <c r="M107" s="12">
        <v>20.0</v>
      </c>
      <c r="N107" s="16"/>
      <c r="O107" s="16"/>
      <c r="P107" s="16"/>
      <c r="Q107" s="16"/>
      <c r="R107" s="10" t="s">
        <v>33</v>
      </c>
      <c r="S107" s="10"/>
      <c r="T107" s="10"/>
      <c r="U107" s="10"/>
      <c r="V107" s="14">
        <v>45456.47419259259</v>
      </c>
      <c r="W107" s="4" t="str">
        <f t="shared" si="2"/>
        <v>HP185-106,HP185-20240613,F4 150uM AA2P scaffolds 1-4, D8 Ind #2,sample,liquid,EXP135,F4 150uM AA2P scaffolds 1-4, D8 Ind #2,,1,,200,4,20,,,,,DS,,,,06-13-2024</v>
      </c>
      <c r="X107" s="15" t="str">
        <f t="shared" si="3"/>
        <v>HP185-106
F4 150uM AA2P scaffolds 1-4, D8 Ind #2
12-30-1899</v>
      </c>
      <c r="Y107" s="15"/>
      <c r="Z107" s="15"/>
      <c r="AA107" s="15"/>
      <c r="AB107" s="15"/>
    </row>
    <row r="108" ht="15.75" customHeight="1">
      <c r="A108" s="9" t="str">
        <f>IFERROR(__xludf.DUMMYFUNCTION("if(B108="""","""", REGEXEXTRACT(B108,""(.*)-.*"") &amp; ""-"" &amp; COUNTA($B$2:B108))"),"HP185-107")</f>
        <v>HP185-107</v>
      </c>
      <c r="B108" s="10" t="s">
        <v>28</v>
      </c>
      <c r="C108" s="20" t="s">
        <v>139</v>
      </c>
      <c r="D108" s="10" t="s">
        <v>30</v>
      </c>
      <c r="E108" s="10" t="s">
        <v>31</v>
      </c>
      <c r="F108" s="10" t="s">
        <v>32</v>
      </c>
      <c r="G108" s="12" t="str">
        <f t="shared" si="1"/>
        <v>F4 100uM AA2P scaffolds 1-4, D10 Ind #2</v>
      </c>
      <c r="H108" s="17"/>
      <c r="I108" s="12">
        <v>1.0</v>
      </c>
      <c r="J108" s="16"/>
      <c r="K108" s="12">
        <v>200.0</v>
      </c>
      <c r="L108" s="12">
        <f t="array" ref="L108">if(D108= "standard", "", if(iserror(index(dilution_factor!$J$2:J387,match(dilution_factor!A108,$C$2:C387,0))),"",index(dilution_factor!$J$2:J387,match(dilution_factor!A108,$C$2:C387,0))))</f>
        <v>4</v>
      </c>
      <c r="M108" s="12">
        <v>20.0</v>
      </c>
      <c r="N108" s="16"/>
      <c r="O108" s="16"/>
      <c r="P108" s="16"/>
      <c r="Q108" s="16"/>
      <c r="R108" s="10" t="s">
        <v>33</v>
      </c>
      <c r="S108" s="10"/>
      <c r="T108" s="10"/>
      <c r="U108" s="10"/>
      <c r="V108" s="14">
        <v>45456.47419259259</v>
      </c>
      <c r="W108" s="4" t="str">
        <f t="shared" si="2"/>
        <v>HP185-107,HP185-20240613,F4 100uM AA2P scaffolds 1-4, D10 Ind #2,sample,liquid,EXP135,F4 100uM AA2P scaffolds 1-4, D10 Ind #2,,1,,200,4,20,,,,,DS,,,,06-13-2024</v>
      </c>
      <c r="X108" s="15" t="str">
        <f t="shared" si="3"/>
        <v>HP185-107
F4 100uM AA2P scaffolds 1-4, D10 Ind #2
12-30-1899</v>
      </c>
      <c r="Y108" s="15"/>
      <c r="Z108" s="15"/>
      <c r="AA108" s="15"/>
      <c r="AB108" s="15"/>
    </row>
    <row r="109" ht="15.75" customHeight="1">
      <c r="A109" s="9" t="str">
        <f>IFERROR(__xludf.DUMMYFUNCTION("if(B109="""","""", REGEXEXTRACT(B109,""(.*)-.*"") &amp; ""-"" &amp; COUNTA($B$2:B109))"),"HP185-108")</f>
        <v>HP185-108</v>
      </c>
      <c r="B109" s="10" t="s">
        <v>28</v>
      </c>
      <c r="C109" s="20" t="s">
        <v>140</v>
      </c>
      <c r="D109" s="10" t="s">
        <v>30</v>
      </c>
      <c r="E109" s="10" t="s">
        <v>31</v>
      </c>
      <c r="F109" s="10" t="s">
        <v>32</v>
      </c>
      <c r="G109" s="12" t="str">
        <f t="shared" si="1"/>
        <v>F4 50uM AA2P scaffolds 1-4, D13 Ind #2</v>
      </c>
      <c r="H109" s="17"/>
      <c r="I109" s="12">
        <v>1.0</v>
      </c>
      <c r="J109" s="16"/>
      <c r="K109" s="12">
        <v>200.0</v>
      </c>
      <c r="L109" s="12">
        <f t="array" ref="L109">if(D109= "standard", "", if(iserror(index(dilution_factor!$J$2:J387,match(dilution_factor!A109,$C$2:C387,0))),"",index(dilution_factor!$J$2:J387,match(dilution_factor!A109,$C$2:C387,0))))</f>
        <v>4</v>
      </c>
      <c r="M109" s="12">
        <v>20.0</v>
      </c>
      <c r="N109" s="16"/>
      <c r="O109" s="16"/>
      <c r="P109" s="16"/>
      <c r="Q109" s="16"/>
      <c r="R109" s="10" t="s">
        <v>33</v>
      </c>
      <c r="S109" s="10"/>
      <c r="T109" s="10"/>
      <c r="U109" s="10"/>
      <c r="V109" s="14">
        <v>45456.47419259259</v>
      </c>
      <c r="W109" s="4" t="str">
        <f t="shared" si="2"/>
        <v>HP185-108,HP185-20240613,F4 50uM AA2P scaffolds 1-4, D13 Ind #2,sample,liquid,EXP135,F4 50uM AA2P scaffolds 1-4, D13 Ind #2,,1,,200,4,20,,,,,DS,,,,06-13-2024</v>
      </c>
      <c r="X109" s="15" t="str">
        <f t="shared" si="3"/>
        <v>HP185-108
F4 50uM AA2P scaffolds 1-4, D13 Ind #2
12-30-1899</v>
      </c>
      <c r="Y109" s="15"/>
      <c r="Z109" s="15"/>
      <c r="AA109" s="15"/>
      <c r="AB109" s="15"/>
    </row>
    <row r="110" ht="15.75" customHeight="1">
      <c r="A110" s="9" t="str">
        <f>IFERROR(__xludf.DUMMYFUNCTION("if(B110="""","""", REGEXEXTRACT(B110,""(.*)-.*"") &amp; ""-"" &amp; COUNTA($B$2:B110))"),"HP185-109")</f>
        <v>HP185-109</v>
      </c>
      <c r="B110" s="10" t="s">
        <v>28</v>
      </c>
      <c r="C110" s="20" t="s">
        <v>141</v>
      </c>
      <c r="D110" s="10" t="s">
        <v>30</v>
      </c>
      <c r="E110" s="10" t="s">
        <v>31</v>
      </c>
      <c r="F110" s="10" t="s">
        <v>32</v>
      </c>
      <c r="G110" s="12" t="str">
        <f t="shared" si="1"/>
        <v>F4 50uM AA2P scaffolds 1-4, D3 Ind #3</v>
      </c>
      <c r="H110" s="17"/>
      <c r="I110" s="12">
        <v>1.0</v>
      </c>
      <c r="J110" s="16"/>
      <c r="K110" s="12">
        <v>200.0</v>
      </c>
      <c r="L110" s="12">
        <f t="array" ref="L110">if(D110= "standard", "", if(iserror(index(dilution_factor!$J$2:J387,match(dilution_factor!A110,$C$2:C387,0))),"",index(dilution_factor!$J$2:J387,match(dilution_factor!A110,$C$2:C387,0))))</f>
        <v>4</v>
      </c>
      <c r="M110" s="12">
        <v>20.0</v>
      </c>
      <c r="N110" s="16"/>
      <c r="O110" s="16"/>
      <c r="P110" s="16"/>
      <c r="Q110" s="16"/>
      <c r="R110" s="10" t="s">
        <v>33</v>
      </c>
      <c r="S110" s="10"/>
      <c r="T110" s="10"/>
      <c r="U110" s="10"/>
      <c r="V110" s="14">
        <v>45456.47419259259</v>
      </c>
      <c r="W110" s="4" t="str">
        <f t="shared" si="2"/>
        <v>HP185-109,HP185-20240613,F4 50uM AA2P scaffolds 1-4, D3 Ind #3,sample,liquid,EXP135,F4 50uM AA2P scaffolds 1-4, D3 Ind #3,,1,,200,4,20,,,,,DS,,,,06-13-2024</v>
      </c>
      <c r="X110" s="15" t="str">
        <f t="shared" si="3"/>
        <v>HP185-109
F4 50uM AA2P scaffolds 1-4, D3 Ind #3
12-30-1899</v>
      </c>
      <c r="Y110" s="15"/>
      <c r="Z110" s="15"/>
      <c r="AA110" s="15"/>
      <c r="AB110" s="15"/>
    </row>
    <row r="111" ht="15.75" customHeight="1">
      <c r="A111" s="9" t="str">
        <f>IFERROR(__xludf.DUMMYFUNCTION("if(B111="""","""", REGEXEXTRACT(B111,""(.*)-.*"") &amp; ""-"" &amp; COUNTA($B$2:B111))"),"HP185-110")</f>
        <v>HP185-110</v>
      </c>
      <c r="B111" s="10" t="s">
        <v>28</v>
      </c>
      <c r="C111" s="20" t="s">
        <v>142</v>
      </c>
      <c r="D111" s="10" t="s">
        <v>30</v>
      </c>
      <c r="E111" s="10" t="s">
        <v>31</v>
      </c>
      <c r="F111" s="10" t="s">
        <v>32</v>
      </c>
      <c r="G111" s="12" t="str">
        <f t="shared" si="1"/>
        <v>F4 250uM AA2P scaffolds 1-4, D3 Ind #3</v>
      </c>
      <c r="H111" s="17"/>
      <c r="I111" s="12">
        <v>1.0</v>
      </c>
      <c r="J111" s="16"/>
      <c r="K111" s="12">
        <v>200.0</v>
      </c>
      <c r="L111" s="12">
        <f t="array" ref="L111">if(D111= "standard", "", if(iserror(index(dilution_factor!$J$2:J387,match(dilution_factor!A111,$C$2:C387,0))),"",index(dilution_factor!$J$2:J387,match(dilution_factor!A111,$C$2:C387,0))))</f>
        <v>4</v>
      </c>
      <c r="M111" s="12">
        <v>20.0</v>
      </c>
      <c r="N111" s="16"/>
      <c r="O111" s="16"/>
      <c r="P111" s="16"/>
      <c r="Q111" s="16"/>
      <c r="R111" s="10" t="s">
        <v>33</v>
      </c>
      <c r="S111" s="10"/>
      <c r="T111" s="10"/>
      <c r="U111" s="10"/>
      <c r="V111" s="14">
        <v>45456.47419259259</v>
      </c>
      <c r="W111" s="4" t="str">
        <f t="shared" si="2"/>
        <v>HP185-110,HP185-20240613,F4 250uM AA2P scaffolds 1-4, D3 Ind #3,sample,liquid,EXP135,F4 250uM AA2P scaffolds 1-4, D3 Ind #3,,1,,200,4,20,,,,,DS,,,,06-13-2024</v>
      </c>
      <c r="X111" s="15" t="str">
        <f t="shared" si="3"/>
        <v>HP185-110
F4 250uM AA2P scaffolds 1-4, D3 Ind #3
12-30-1899</v>
      </c>
      <c r="Y111" s="15"/>
      <c r="Z111" s="15"/>
      <c r="AA111" s="15"/>
      <c r="AB111" s="15"/>
    </row>
    <row r="112" ht="15.75" customHeight="1">
      <c r="A112" s="9" t="str">
        <f>IFERROR(__xludf.DUMMYFUNCTION("if(B112="""","""", REGEXEXTRACT(B112,""(.*)-.*"") &amp; ""-"" &amp; COUNTA($B$2:B112))"),"HP185-111")</f>
        <v>HP185-111</v>
      </c>
      <c r="B112" s="10" t="s">
        <v>28</v>
      </c>
      <c r="C112" s="20" t="s">
        <v>143</v>
      </c>
      <c r="D112" s="10" t="s">
        <v>30</v>
      </c>
      <c r="E112" s="10" t="s">
        <v>31</v>
      </c>
      <c r="F112" s="10" t="s">
        <v>32</v>
      </c>
      <c r="G112" s="12" t="str">
        <f t="shared" si="1"/>
        <v>F4 200uM AA2P scaffolds 1-4, D6 Ind #3</v>
      </c>
      <c r="H112" s="17"/>
      <c r="I112" s="12">
        <v>1.0</v>
      </c>
      <c r="J112" s="16"/>
      <c r="K112" s="12">
        <v>200.0</v>
      </c>
      <c r="L112" s="12">
        <f t="array" ref="L112">if(D112= "standard", "", if(iserror(index(dilution_factor!$J$2:J387,match(dilution_factor!A112,$C$2:C387,0))),"",index(dilution_factor!$J$2:J387,match(dilution_factor!A112,$C$2:C387,0))))</f>
        <v>4</v>
      </c>
      <c r="M112" s="12">
        <v>20.0</v>
      </c>
      <c r="N112" s="16"/>
      <c r="O112" s="16"/>
      <c r="P112" s="16"/>
      <c r="Q112" s="16"/>
      <c r="R112" s="10" t="s">
        <v>33</v>
      </c>
      <c r="S112" s="10"/>
      <c r="T112" s="10"/>
      <c r="U112" s="10"/>
      <c r="V112" s="14">
        <v>45456.47419259259</v>
      </c>
      <c r="W112" s="4" t="str">
        <f t="shared" si="2"/>
        <v>HP185-111,HP185-20240613,F4 200uM AA2P scaffolds 1-4, D6 Ind #3,sample,liquid,EXP135,F4 200uM AA2P scaffolds 1-4, D6 Ind #3,,1,,200,4,20,,,,,DS,,,,06-13-2024</v>
      </c>
      <c r="X112" s="15" t="str">
        <f t="shared" si="3"/>
        <v>HP185-111
F4 200uM AA2P scaffolds 1-4, D6 Ind #3
12-30-1899</v>
      </c>
      <c r="Y112" s="15"/>
      <c r="Z112" s="15"/>
      <c r="AA112" s="15"/>
      <c r="AB112" s="15"/>
    </row>
    <row r="113" ht="15.75" customHeight="1">
      <c r="A113" s="9" t="str">
        <f>IFERROR(__xludf.DUMMYFUNCTION("if(B113="""","""", REGEXEXTRACT(B113,""(.*)-.*"") &amp; ""-"" &amp; COUNTA($B$2:B113))"),"HP185-112")</f>
        <v>HP185-112</v>
      </c>
      <c r="B113" s="10" t="s">
        <v>28</v>
      </c>
      <c r="C113" s="20" t="s">
        <v>144</v>
      </c>
      <c r="D113" s="10" t="s">
        <v>30</v>
      </c>
      <c r="E113" s="10" t="s">
        <v>31</v>
      </c>
      <c r="F113" s="10" t="s">
        <v>32</v>
      </c>
      <c r="G113" s="12" t="str">
        <f t="shared" si="1"/>
        <v>F4 150uM AA2P scaffolds 1-4, D8 Ind #3</v>
      </c>
      <c r="H113" s="17"/>
      <c r="I113" s="12">
        <v>1.0</v>
      </c>
      <c r="J113" s="16"/>
      <c r="K113" s="12">
        <v>200.0</v>
      </c>
      <c r="L113" s="12">
        <f t="array" ref="L113">if(D113= "standard", "", if(iserror(index(dilution_factor!$J$2:J387,match(dilution_factor!A113,$C$2:C387,0))),"",index(dilution_factor!$J$2:J387,match(dilution_factor!A113,$C$2:C387,0))))</f>
        <v>4</v>
      </c>
      <c r="M113" s="12">
        <v>20.0</v>
      </c>
      <c r="N113" s="16"/>
      <c r="O113" s="16"/>
      <c r="P113" s="16"/>
      <c r="Q113" s="16"/>
      <c r="R113" s="10" t="s">
        <v>33</v>
      </c>
      <c r="S113" s="10"/>
      <c r="T113" s="10"/>
      <c r="U113" s="10"/>
      <c r="V113" s="14">
        <v>45456.47419259259</v>
      </c>
      <c r="W113" s="4" t="str">
        <f t="shared" si="2"/>
        <v>HP185-112,HP185-20240613,F4 150uM AA2P scaffolds 1-4, D8 Ind #3,sample,liquid,EXP135,F4 150uM AA2P scaffolds 1-4, D8 Ind #3,,1,,200,4,20,,,,,DS,,,,06-13-2024</v>
      </c>
      <c r="X113" s="15" t="str">
        <f t="shared" si="3"/>
        <v>HP185-112
F4 150uM AA2P scaffolds 1-4, D8 Ind #3
12-30-1899</v>
      </c>
      <c r="Y113" s="15"/>
      <c r="Z113" s="15"/>
      <c r="AA113" s="15"/>
      <c r="AB113" s="15"/>
    </row>
    <row r="114" ht="15.75" customHeight="1">
      <c r="A114" s="9" t="str">
        <f>IFERROR(__xludf.DUMMYFUNCTION("if(B114="""","""", REGEXEXTRACT(B114,""(.*)-.*"") &amp; ""-"" &amp; COUNTA($B$2:B114))"),"HP185-113")</f>
        <v>HP185-113</v>
      </c>
      <c r="B114" s="10" t="s">
        <v>28</v>
      </c>
      <c r="C114" s="20" t="s">
        <v>145</v>
      </c>
      <c r="D114" s="10" t="s">
        <v>30</v>
      </c>
      <c r="E114" s="10" t="s">
        <v>31</v>
      </c>
      <c r="F114" s="10" t="s">
        <v>32</v>
      </c>
      <c r="G114" s="12" t="str">
        <f t="shared" si="1"/>
        <v>F4 100uM AA2P scaffolds 1-4, D10 Ind #3</v>
      </c>
      <c r="H114" s="17"/>
      <c r="I114" s="12">
        <v>1.0</v>
      </c>
      <c r="J114" s="16"/>
      <c r="K114" s="12">
        <v>200.0</v>
      </c>
      <c r="L114" s="12">
        <f t="array" ref="L114">if(D114= "standard", "", if(iserror(index(dilution_factor!$J$2:J387,match(dilution_factor!A114,$C$2:C387,0))),"",index(dilution_factor!$J$2:J387,match(dilution_factor!A114,$C$2:C387,0))))</f>
        <v>4</v>
      </c>
      <c r="M114" s="12">
        <v>20.0</v>
      </c>
      <c r="N114" s="16"/>
      <c r="O114" s="16"/>
      <c r="P114" s="16"/>
      <c r="Q114" s="16"/>
      <c r="R114" s="10" t="s">
        <v>33</v>
      </c>
      <c r="S114" s="10"/>
      <c r="T114" s="10"/>
      <c r="U114" s="10"/>
      <c r="V114" s="14">
        <v>45456.47419259259</v>
      </c>
      <c r="W114" s="4" t="str">
        <f t="shared" si="2"/>
        <v>HP185-113,HP185-20240613,F4 100uM AA2P scaffolds 1-4, D10 Ind #3,sample,liquid,EXP135,F4 100uM AA2P scaffolds 1-4, D10 Ind #3,,1,,200,4,20,,,,,DS,,,,06-13-2024</v>
      </c>
      <c r="X114" s="15" t="str">
        <f t="shared" si="3"/>
        <v>HP185-113
F4 100uM AA2P scaffolds 1-4, D10 Ind #3
12-30-1899</v>
      </c>
      <c r="Y114" s="15"/>
      <c r="Z114" s="15"/>
      <c r="AA114" s="15"/>
      <c r="AB114" s="15"/>
    </row>
    <row r="115" ht="15.75" customHeight="1">
      <c r="A115" s="9" t="str">
        <f>IFERROR(__xludf.DUMMYFUNCTION("if(B115="""","""", REGEXEXTRACT(B115,""(.*)-.*"") &amp; ""-"" &amp; COUNTA($B$2:B115))"),"HP185-114")</f>
        <v>HP185-114</v>
      </c>
      <c r="B115" s="10" t="s">
        <v>28</v>
      </c>
      <c r="C115" s="20" t="s">
        <v>146</v>
      </c>
      <c r="D115" s="10" t="s">
        <v>30</v>
      </c>
      <c r="E115" s="10" t="s">
        <v>31</v>
      </c>
      <c r="F115" s="10" t="s">
        <v>32</v>
      </c>
      <c r="G115" s="12" t="str">
        <f t="shared" si="1"/>
        <v>F4 50uM AA2P scaffolds 1-4, D13 Ind #3</v>
      </c>
      <c r="H115" s="17"/>
      <c r="I115" s="12">
        <v>1.0</v>
      </c>
      <c r="J115" s="16"/>
      <c r="K115" s="12">
        <v>200.0</v>
      </c>
      <c r="L115" s="12">
        <f t="array" ref="L115">if(D115= "standard", "", if(iserror(index(dilution_factor!$J$2:J387,match(dilution_factor!A115,$C$2:C387,0))),"",index(dilution_factor!$J$2:J387,match(dilution_factor!A115,$C$2:C387,0))))</f>
        <v>4</v>
      </c>
      <c r="M115" s="12">
        <v>20.0</v>
      </c>
      <c r="N115" s="16"/>
      <c r="O115" s="16"/>
      <c r="P115" s="16"/>
      <c r="Q115" s="16"/>
      <c r="R115" s="10" t="s">
        <v>33</v>
      </c>
      <c r="S115" s="10"/>
      <c r="T115" s="10"/>
      <c r="U115" s="10"/>
      <c r="V115" s="14">
        <v>45456.47419259259</v>
      </c>
      <c r="W115" s="4" t="str">
        <f t="shared" si="2"/>
        <v>HP185-114,HP185-20240613,F4 50uM AA2P scaffolds 1-4, D13 Ind #3,sample,liquid,EXP135,F4 50uM AA2P scaffolds 1-4, D13 Ind #3,,1,,200,4,20,,,,,DS,,,,06-13-2024</v>
      </c>
      <c r="X115" s="15" t="str">
        <f t="shared" si="3"/>
        <v>HP185-114
F4 50uM AA2P scaffolds 1-4, D13 Ind #3
12-30-1899</v>
      </c>
      <c r="Y115" s="15"/>
      <c r="Z115" s="15"/>
      <c r="AA115" s="15"/>
      <c r="AB115" s="15"/>
    </row>
    <row r="116" ht="15.75" customHeight="1">
      <c r="A116" s="9" t="str">
        <f>IFERROR(__xludf.DUMMYFUNCTION("if(B116="""","""", REGEXEXTRACT(B116,""(.*)-.*"") &amp; ""-"" &amp; COUNTA($B$2:B116))"),"HP185-115")</f>
        <v>HP185-115</v>
      </c>
      <c r="B116" s="10" t="s">
        <v>28</v>
      </c>
      <c r="C116" s="20" t="s">
        <v>147</v>
      </c>
      <c r="D116" s="10" t="s">
        <v>30</v>
      </c>
      <c r="E116" s="10" t="s">
        <v>31</v>
      </c>
      <c r="F116" s="10" t="s">
        <v>32</v>
      </c>
      <c r="G116" s="12" t="str">
        <f t="shared" si="1"/>
        <v>F4 100uM AA2P scaffolds 1-4, D3 Ind #1</v>
      </c>
      <c r="H116" s="17"/>
      <c r="I116" s="12">
        <v>1.0</v>
      </c>
      <c r="J116" s="16"/>
      <c r="K116" s="12">
        <v>200.0</v>
      </c>
      <c r="L116" s="12">
        <f t="array" ref="L116">if(D116= "standard", "", if(iserror(index(dilution_factor!$J$2:J387,match(dilution_factor!A116,$C$2:C387,0))),"",index(dilution_factor!$J$2:J387,match(dilution_factor!A116,$C$2:C387,0))))</f>
        <v>4</v>
      </c>
      <c r="M116" s="12">
        <v>20.0</v>
      </c>
      <c r="N116" s="16"/>
      <c r="O116" s="16"/>
      <c r="P116" s="16"/>
      <c r="Q116" s="16"/>
      <c r="R116" s="10" t="s">
        <v>33</v>
      </c>
      <c r="S116" s="10"/>
      <c r="T116" s="10"/>
      <c r="U116" s="10"/>
      <c r="V116" s="14">
        <v>45456.47419259259</v>
      </c>
      <c r="W116" s="4" t="str">
        <f t="shared" si="2"/>
        <v>HP185-115,HP185-20240613,F4 100uM AA2P scaffolds 1-4, D3 Ind #1,sample,liquid,EXP135,F4 100uM AA2P scaffolds 1-4, D3 Ind #1,,1,,200,4,20,,,,,DS,,,,06-13-2024</v>
      </c>
      <c r="X116" s="15" t="str">
        <f t="shared" si="3"/>
        <v>HP185-115
F4 100uM AA2P scaffolds 1-4, D3 Ind #1
12-30-1899</v>
      </c>
      <c r="Y116" s="15"/>
      <c r="Z116" s="15"/>
      <c r="AA116" s="15"/>
      <c r="AB116" s="15"/>
    </row>
    <row r="117" ht="15.75" customHeight="1">
      <c r="A117" s="9" t="str">
        <f>IFERROR(__xludf.DUMMYFUNCTION("if(B117="""","""", REGEXEXTRACT(B117,""(.*)-.*"") &amp; ""-"" &amp; COUNTA($B$2:B117))"),"HP185-116")</f>
        <v>HP185-116</v>
      </c>
      <c r="B117" s="10" t="s">
        <v>28</v>
      </c>
      <c r="C117" s="20" t="s">
        <v>148</v>
      </c>
      <c r="D117" s="10" t="s">
        <v>30</v>
      </c>
      <c r="E117" s="10" t="s">
        <v>31</v>
      </c>
      <c r="F117" s="10" t="s">
        <v>32</v>
      </c>
      <c r="G117" s="12" t="str">
        <f t="shared" si="1"/>
        <v>F4 50uM AA2P scaffolds 1-4, D6 Ind #1</v>
      </c>
      <c r="H117" s="17"/>
      <c r="I117" s="12">
        <v>1.0</v>
      </c>
      <c r="J117" s="16"/>
      <c r="K117" s="12">
        <v>200.0</v>
      </c>
      <c r="L117" s="12">
        <f t="array" ref="L117">if(D117= "standard", "", if(iserror(index(dilution_factor!$J$2:J387,match(dilution_factor!A117,$C$2:C387,0))),"",index(dilution_factor!$J$2:J387,match(dilution_factor!A117,$C$2:C387,0))))</f>
        <v>4</v>
      </c>
      <c r="M117" s="12">
        <v>20.0</v>
      </c>
      <c r="N117" s="16"/>
      <c r="O117" s="16"/>
      <c r="P117" s="16"/>
      <c r="Q117" s="16"/>
      <c r="R117" s="10" t="s">
        <v>33</v>
      </c>
      <c r="S117" s="10"/>
      <c r="T117" s="10"/>
      <c r="U117" s="10"/>
      <c r="V117" s="14">
        <v>45456.47419259259</v>
      </c>
      <c r="W117" s="4" t="str">
        <f t="shared" si="2"/>
        <v>HP185-116,HP185-20240613,F4 50uM AA2P scaffolds 1-4, D6 Ind #1,sample,liquid,EXP135,F4 50uM AA2P scaffolds 1-4, D6 Ind #1,,1,,200,4,20,,,,,DS,,,,06-13-2024</v>
      </c>
      <c r="X117" s="15" t="str">
        <f t="shared" si="3"/>
        <v>HP185-116
F4 50uM AA2P scaffolds 1-4, D6 Ind #1
12-30-1899</v>
      </c>
      <c r="Y117" s="15"/>
      <c r="Z117" s="15"/>
      <c r="AA117" s="15"/>
      <c r="AB117" s="15"/>
    </row>
    <row r="118" ht="15.75" customHeight="1">
      <c r="A118" s="9" t="str">
        <f>IFERROR(__xludf.DUMMYFUNCTION("if(B118="""","""", REGEXEXTRACT(B118,""(.*)-.*"") &amp; ""-"" &amp; COUNTA($B$2:B118))"),"HP185-117")</f>
        <v>HP185-117</v>
      </c>
      <c r="B118" s="10" t="s">
        <v>28</v>
      </c>
      <c r="C118" s="20" t="s">
        <v>149</v>
      </c>
      <c r="D118" s="10" t="s">
        <v>30</v>
      </c>
      <c r="E118" s="10" t="s">
        <v>31</v>
      </c>
      <c r="F118" s="10" t="s">
        <v>32</v>
      </c>
      <c r="G118" s="12" t="str">
        <f t="shared" si="1"/>
        <v>F4 250uM AA2P scaffolds 1-4, D6 Ind #1</v>
      </c>
      <c r="H118" s="17"/>
      <c r="I118" s="12">
        <v>1.0</v>
      </c>
      <c r="J118" s="16"/>
      <c r="K118" s="12">
        <v>200.0</v>
      </c>
      <c r="L118" s="12">
        <f t="array" ref="L118">if(D118= "standard", "", if(iserror(index(dilution_factor!$J$2:J387,match(dilution_factor!A118,$C$2:C387,0))),"",index(dilution_factor!$J$2:J387,match(dilution_factor!A118,$C$2:C387,0))))</f>
        <v>4</v>
      </c>
      <c r="M118" s="12">
        <v>20.0</v>
      </c>
      <c r="N118" s="16"/>
      <c r="O118" s="16"/>
      <c r="P118" s="16"/>
      <c r="Q118" s="16"/>
      <c r="R118" s="10" t="s">
        <v>33</v>
      </c>
      <c r="S118" s="10"/>
      <c r="T118" s="10"/>
      <c r="U118" s="10"/>
      <c r="V118" s="14">
        <v>45456.47419259259</v>
      </c>
      <c r="W118" s="4" t="str">
        <f t="shared" si="2"/>
        <v>HP185-117,HP185-20240613,F4 250uM AA2P scaffolds 1-4, D6 Ind #1,sample,liquid,EXP135,F4 250uM AA2P scaffolds 1-4, D6 Ind #1,,1,,200,4,20,,,,,DS,,,,06-13-2024</v>
      </c>
      <c r="X118" s="15" t="str">
        <f t="shared" si="3"/>
        <v>HP185-117
F4 250uM AA2P scaffolds 1-4, D6 Ind #1
12-30-1899</v>
      </c>
      <c r="Y118" s="15"/>
      <c r="Z118" s="15"/>
      <c r="AA118" s="15"/>
      <c r="AB118" s="15"/>
    </row>
    <row r="119" ht="15.75" customHeight="1">
      <c r="A119" s="9" t="str">
        <f>IFERROR(__xludf.DUMMYFUNCTION("if(B119="""","""", REGEXEXTRACT(B119,""(.*)-.*"") &amp; ""-"" &amp; COUNTA($B$2:B119))"),"HP185-118")</f>
        <v>HP185-118</v>
      </c>
      <c r="B119" s="10" t="s">
        <v>28</v>
      </c>
      <c r="C119" s="20" t="s">
        <v>150</v>
      </c>
      <c r="D119" s="10" t="s">
        <v>30</v>
      </c>
      <c r="E119" s="10" t="s">
        <v>31</v>
      </c>
      <c r="F119" s="10" t="s">
        <v>32</v>
      </c>
      <c r="G119" s="12" t="str">
        <f t="shared" si="1"/>
        <v>F4 200uM AA2P scaffolds 1-4, D8 Ind #1</v>
      </c>
      <c r="H119" s="17"/>
      <c r="I119" s="12">
        <v>1.0</v>
      </c>
      <c r="J119" s="16"/>
      <c r="K119" s="12">
        <v>200.0</v>
      </c>
      <c r="L119" s="12">
        <f t="array" ref="L119">if(D119= "standard", "", if(iserror(index(dilution_factor!$J$2:J387,match(dilution_factor!A119,$C$2:C387,0))),"",index(dilution_factor!$J$2:J387,match(dilution_factor!A119,$C$2:C387,0))))</f>
        <v>4</v>
      </c>
      <c r="M119" s="12">
        <v>20.0</v>
      </c>
      <c r="N119" s="16"/>
      <c r="O119" s="16"/>
      <c r="P119" s="16"/>
      <c r="Q119" s="16"/>
      <c r="R119" s="10" t="s">
        <v>33</v>
      </c>
      <c r="S119" s="10"/>
      <c r="T119" s="10"/>
      <c r="U119" s="10"/>
      <c r="V119" s="14">
        <v>45456.47419259259</v>
      </c>
      <c r="W119" s="4" t="str">
        <f t="shared" si="2"/>
        <v>HP185-118,HP185-20240613,F4 200uM AA2P scaffolds 1-4, D8 Ind #1,sample,liquid,EXP135,F4 200uM AA2P scaffolds 1-4, D8 Ind #1,,1,,200,4,20,,,,,DS,,,,06-13-2024</v>
      </c>
      <c r="X119" s="15" t="str">
        <f t="shared" si="3"/>
        <v>HP185-118
F4 200uM AA2P scaffolds 1-4, D8 Ind #1
12-30-1899</v>
      </c>
      <c r="Y119" s="15"/>
      <c r="Z119" s="15"/>
      <c r="AA119" s="15"/>
      <c r="AB119" s="15"/>
    </row>
    <row r="120" ht="15.75" customHeight="1">
      <c r="A120" s="9" t="str">
        <f>IFERROR(__xludf.DUMMYFUNCTION("if(B120="""","""", REGEXEXTRACT(B120,""(.*)-.*"") &amp; ""-"" &amp; COUNTA($B$2:B120))"),"HP185-119")</f>
        <v>HP185-119</v>
      </c>
      <c r="B120" s="10" t="s">
        <v>28</v>
      </c>
      <c r="C120" s="20" t="s">
        <v>151</v>
      </c>
      <c r="D120" s="10" t="s">
        <v>30</v>
      </c>
      <c r="E120" s="10" t="s">
        <v>31</v>
      </c>
      <c r="F120" s="10" t="s">
        <v>32</v>
      </c>
      <c r="G120" s="12" t="str">
        <f t="shared" si="1"/>
        <v>F4 150uM AA2P scaffolds 1-4, D10 Ind #1</v>
      </c>
      <c r="H120" s="17"/>
      <c r="I120" s="12">
        <v>1.0</v>
      </c>
      <c r="J120" s="16"/>
      <c r="K120" s="12">
        <v>200.0</v>
      </c>
      <c r="L120" s="12">
        <f t="array" ref="L120">if(D120= "standard", "", if(iserror(index(dilution_factor!$J$2:J387,match(dilution_factor!A120,$C$2:C387,0))),"",index(dilution_factor!$J$2:J387,match(dilution_factor!A120,$C$2:C387,0))))</f>
        <v>4</v>
      </c>
      <c r="M120" s="12">
        <v>20.0</v>
      </c>
      <c r="N120" s="16"/>
      <c r="O120" s="16"/>
      <c r="P120" s="16"/>
      <c r="Q120" s="16"/>
      <c r="R120" s="10" t="s">
        <v>33</v>
      </c>
      <c r="S120" s="10"/>
      <c r="T120" s="10"/>
      <c r="U120" s="10"/>
      <c r="V120" s="14">
        <v>45456.47419259259</v>
      </c>
      <c r="W120" s="4" t="str">
        <f t="shared" si="2"/>
        <v>HP185-119,HP185-20240613,F4 150uM AA2P scaffolds 1-4, D10 Ind #1,sample,liquid,EXP135,F4 150uM AA2P scaffolds 1-4, D10 Ind #1,,1,,200,4,20,,,,,DS,,,,06-13-2024</v>
      </c>
      <c r="X120" s="15" t="str">
        <f t="shared" si="3"/>
        <v>HP185-119
F4 150uM AA2P scaffolds 1-4, D10 Ind #1
12-30-1899</v>
      </c>
      <c r="Y120" s="15"/>
      <c r="Z120" s="15"/>
      <c r="AA120" s="15"/>
      <c r="AB120" s="15"/>
    </row>
    <row r="121" ht="15.75" customHeight="1">
      <c r="A121" s="9" t="str">
        <f>IFERROR(__xludf.DUMMYFUNCTION("if(B121="""","""", REGEXEXTRACT(B121,""(.*)-.*"") &amp; ""-"" &amp; COUNTA($B$2:B121))"),"HP185-120")</f>
        <v>HP185-120</v>
      </c>
      <c r="B121" s="10" t="s">
        <v>28</v>
      </c>
      <c r="C121" s="20" t="s">
        <v>152</v>
      </c>
      <c r="D121" s="10" t="s">
        <v>30</v>
      </c>
      <c r="E121" s="10" t="s">
        <v>31</v>
      </c>
      <c r="F121" s="10" t="s">
        <v>32</v>
      </c>
      <c r="G121" s="12" t="str">
        <f t="shared" si="1"/>
        <v>F4 100uM AA2P scaffolds 1-4, D13 Ind #1</v>
      </c>
      <c r="H121" s="17"/>
      <c r="I121" s="12">
        <v>1.0</v>
      </c>
      <c r="J121" s="16"/>
      <c r="K121" s="12">
        <v>200.0</v>
      </c>
      <c r="L121" s="12">
        <f t="array" ref="L121">if(D121= "standard", "", if(iserror(index(dilution_factor!$J$2:J387,match(dilution_factor!A121,$C$2:C387,0))),"",index(dilution_factor!$J$2:J387,match(dilution_factor!A121,$C$2:C387,0))))</f>
        <v>4</v>
      </c>
      <c r="M121" s="12">
        <v>20.0</v>
      </c>
      <c r="N121" s="16"/>
      <c r="O121" s="16"/>
      <c r="P121" s="16"/>
      <c r="Q121" s="16"/>
      <c r="R121" s="10" t="s">
        <v>33</v>
      </c>
      <c r="S121" s="10"/>
      <c r="T121" s="10"/>
      <c r="U121" s="10"/>
      <c r="V121" s="14">
        <v>45456.47419259259</v>
      </c>
      <c r="W121" s="4" t="str">
        <f t="shared" si="2"/>
        <v>HP185-120,HP185-20240613,F4 100uM AA2P scaffolds 1-4, D13 Ind #1,sample,liquid,EXP135,F4 100uM AA2P scaffolds 1-4, D13 Ind #1,,1,,200,4,20,,,,,DS,,,,06-13-2024</v>
      </c>
      <c r="X121" s="15" t="str">
        <f t="shared" si="3"/>
        <v>HP185-120
F4 100uM AA2P scaffolds 1-4, D13 Ind #1
12-30-1899</v>
      </c>
      <c r="Y121" s="15"/>
      <c r="Z121" s="15"/>
      <c r="AA121" s="15"/>
      <c r="AB121" s="15"/>
    </row>
    <row r="122" ht="15.75" customHeight="1">
      <c r="A122" s="9" t="str">
        <f>IFERROR(__xludf.DUMMYFUNCTION("if(B122="""","""", REGEXEXTRACT(B122,""(.*)-.*"") &amp; ""-"" &amp; COUNTA($B$2:B122))"),"HP185-121")</f>
        <v>HP185-121</v>
      </c>
      <c r="B122" s="10" t="s">
        <v>28</v>
      </c>
      <c r="C122" s="20" t="s">
        <v>153</v>
      </c>
      <c r="D122" s="10" t="s">
        <v>30</v>
      </c>
      <c r="E122" s="10" t="s">
        <v>31</v>
      </c>
      <c r="F122" s="10" t="s">
        <v>32</v>
      </c>
      <c r="G122" s="12" t="str">
        <f t="shared" si="1"/>
        <v>F4 100uM AA2P scaffolds 1-4, D3 Ind #2</v>
      </c>
      <c r="H122" s="17"/>
      <c r="I122" s="12">
        <v>1.0</v>
      </c>
      <c r="J122" s="16"/>
      <c r="K122" s="12">
        <v>200.0</v>
      </c>
      <c r="L122" s="12">
        <f t="array" ref="L122">if(D122= "standard", "", if(iserror(index(dilution_factor!$J$2:J387,match(dilution_factor!A122,$C$2:C387,0))),"",index(dilution_factor!$J$2:J387,match(dilution_factor!A122,$C$2:C387,0))))</f>
        <v>4</v>
      </c>
      <c r="M122" s="12">
        <v>20.0</v>
      </c>
      <c r="N122" s="16"/>
      <c r="O122" s="16"/>
      <c r="P122" s="16"/>
      <c r="Q122" s="16"/>
      <c r="R122" s="10" t="s">
        <v>33</v>
      </c>
      <c r="S122" s="10"/>
      <c r="T122" s="10"/>
      <c r="U122" s="10"/>
      <c r="V122" s="14">
        <v>45456.47419259259</v>
      </c>
      <c r="W122" s="4" t="str">
        <f t="shared" si="2"/>
        <v>HP185-121,HP185-20240613,F4 100uM AA2P scaffolds 1-4, D3 Ind #2,sample,liquid,EXP135,F4 100uM AA2P scaffolds 1-4, D3 Ind #2,,1,,200,4,20,,,,,DS,,,,06-13-2024</v>
      </c>
      <c r="X122" s="15" t="str">
        <f t="shared" si="3"/>
        <v>HP185-121
F4 100uM AA2P scaffolds 1-4, D3 Ind #2
12-30-1899</v>
      </c>
      <c r="Y122" s="15"/>
      <c r="Z122" s="15"/>
      <c r="AA122" s="15"/>
      <c r="AB122" s="15"/>
    </row>
    <row r="123" ht="15.75" customHeight="1">
      <c r="A123" s="9" t="str">
        <f>IFERROR(__xludf.DUMMYFUNCTION("if(B123="""","""", REGEXEXTRACT(B123,""(.*)-.*"") &amp; ""-"" &amp; COUNTA($B$2:B123))"),"HP185-122")</f>
        <v>HP185-122</v>
      </c>
      <c r="B123" s="10" t="s">
        <v>28</v>
      </c>
      <c r="C123" s="20" t="s">
        <v>154</v>
      </c>
      <c r="D123" s="10" t="s">
        <v>30</v>
      </c>
      <c r="E123" s="10" t="s">
        <v>31</v>
      </c>
      <c r="F123" s="10" t="s">
        <v>32</v>
      </c>
      <c r="G123" s="12" t="str">
        <f t="shared" si="1"/>
        <v>F4 50uM AA2P scaffolds 1-4, D6 Ind #2</v>
      </c>
      <c r="H123" s="17"/>
      <c r="I123" s="12">
        <v>1.0</v>
      </c>
      <c r="J123" s="16"/>
      <c r="K123" s="12">
        <v>200.0</v>
      </c>
      <c r="L123" s="12">
        <f t="array" ref="L123">if(D123= "standard", "", if(iserror(index(dilution_factor!$J$2:J387,match(dilution_factor!A123,$C$2:C387,0))),"",index(dilution_factor!$J$2:J387,match(dilution_factor!A123,$C$2:C387,0))))</f>
        <v>4</v>
      </c>
      <c r="M123" s="12">
        <v>20.0</v>
      </c>
      <c r="N123" s="16"/>
      <c r="O123" s="16"/>
      <c r="P123" s="16"/>
      <c r="Q123" s="16"/>
      <c r="R123" s="10" t="s">
        <v>33</v>
      </c>
      <c r="S123" s="10"/>
      <c r="T123" s="10"/>
      <c r="U123" s="10"/>
      <c r="V123" s="14">
        <v>45456.47419259259</v>
      </c>
      <c r="W123" s="4" t="str">
        <f t="shared" si="2"/>
        <v>HP185-122,HP185-20240613,F4 50uM AA2P scaffolds 1-4, D6 Ind #2,sample,liquid,EXP135,F4 50uM AA2P scaffolds 1-4, D6 Ind #2,,1,,200,4,20,,,,,DS,,,,06-13-2024</v>
      </c>
      <c r="X123" s="15" t="str">
        <f t="shared" si="3"/>
        <v>HP185-122
F4 50uM AA2P scaffolds 1-4, D6 Ind #2
12-30-1899</v>
      </c>
      <c r="Y123" s="15"/>
      <c r="Z123" s="15"/>
      <c r="AA123" s="15"/>
      <c r="AB123" s="15"/>
    </row>
    <row r="124" ht="15.75" customHeight="1">
      <c r="A124" s="9" t="str">
        <f>IFERROR(__xludf.DUMMYFUNCTION("if(B124="""","""", REGEXEXTRACT(B124,""(.*)-.*"") &amp; ""-"" &amp; COUNTA($B$2:B124))"),"HP185-123")</f>
        <v>HP185-123</v>
      </c>
      <c r="B124" s="10" t="s">
        <v>28</v>
      </c>
      <c r="C124" s="20" t="s">
        <v>155</v>
      </c>
      <c r="D124" s="10" t="s">
        <v>30</v>
      </c>
      <c r="E124" s="10" t="s">
        <v>31</v>
      </c>
      <c r="F124" s="10" t="s">
        <v>32</v>
      </c>
      <c r="G124" s="12" t="str">
        <f t="shared" si="1"/>
        <v>F4 250uM AA2P scaffolds 1-4, D6 Ind #2</v>
      </c>
      <c r="H124" s="17"/>
      <c r="I124" s="12">
        <v>1.0</v>
      </c>
      <c r="J124" s="16"/>
      <c r="K124" s="12">
        <v>200.0</v>
      </c>
      <c r="L124" s="12">
        <f t="array" ref="L124">if(D124= "standard", "", if(iserror(index(dilution_factor!$J$2:J387,match(dilution_factor!A124,$C$2:C387,0))),"",index(dilution_factor!$J$2:J387,match(dilution_factor!A124,$C$2:C387,0))))</f>
        <v>4</v>
      </c>
      <c r="M124" s="12">
        <v>20.0</v>
      </c>
      <c r="N124" s="16"/>
      <c r="O124" s="16"/>
      <c r="P124" s="16"/>
      <c r="Q124" s="16"/>
      <c r="R124" s="10" t="s">
        <v>33</v>
      </c>
      <c r="S124" s="10"/>
      <c r="T124" s="10"/>
      <c r="U124" s="10"/>
      <c r="V124" s="14">
        <v>45456.47419259259</v>
      </c>
      <c r="W124" s="4" t="str">
        <f t="shared" si="2"/>
        <v>HP185-123,HP185-20240613,F4 250uM AA2P scaffolds 1-4, D6 Ind #2,sample,liquid,EXP135,F4 250uM AA2P scaffolds 1-4, D6 Ind #2,,1,,200,4,20,,,,,DS,,,,06-13-2024</v>
      </c>
      <c r="X124" s="15" t="str">
        <f t="shared" si="3"/>
        <v>HP185-123
F4 250uM AA2P scaffolds 1-4, D6 Ind #2
12-30-1899</v>
      </c>
      <c r="Y124" s="15"/>
      <c r="Z124" s="15"/>
      <c r="AA124" s="15"/>
      <c r="AB124" s="15"/>
    </row>
    <row r="125" ht="15.75" customHeight="1">
      <c r="A125" s="9" t="str">
        <f>IFERROR(__xludf.DUMMYFUNCTION("if(B125="""","""", REGEXEXTRACT(B125,""(.*)-.*"") &amp; ""-"" &amp; COUNTA($B$2:B125))"),"HP185-124")</f>
        <v>HP185-124</v>
      </c>
      <c r="B125" s="10" t="s">
        <v>28</v>
      </c>
      <c r="C125" s="20" t="s">
        <v>156</v>
      </c>
      <c r="D125" s="10" t="s">
        <v>30</v>
      </c>
      <c r="E125" s="10" t="s">
        <v>31</v>
      </c>
      <c r="F125" s="10" t="s">
        <v>32</v>
      </c>
      <c r="G125" s="12" t="str">
        <f t="shared" si="1"/>
        <v>F4 200uM AA2P scaffolds 1-4, D8 Ind #2</v>
      </c>
      <c r="H125" s="17"/>
      <c r="I125" s="12">
        <v>1.0</v>
      </c>
      <c r="J125" s="16"/>
      <c r="K125" s="12">
        <v>200.0</v>
      </c>
      <c r="L125" s="12">
        <f t="array" ref="L125">if(D125= "standard", "", if(iserror(index(dilution_factor!$J$2:J387,match(dilution_factor!A125,$C$2:C387,0))),"",index(dilution_factor!$J$2:J387,match(dilution_factor!A125,$C$2:C387,0))))</f>
        <v>4</v>
      </c>
      <c r="M125" s="12">
        <v>20.0</v>
      </c>
      <c r="N125" s="16"/>
      <c r="O125" s="16"/>
      <c r="P125" s="16"/>
      <c r="Q125" s="16"/>
      <c r="R125" s="10" t="s">
        <v>33</v>
      </c>
      <c r="S125" s="10"/>
      <c r="T125" s="10"/>
      <c r="U125" s="10"/>
      <c r="V125" s="14">
        <v>45456.47419259259</v>
      </c>
      <c r="W125" s="4" t="str">
        <f t="shared" si="2"/>
        <v>HP185-124,HP185-20240613,F4 200uM AA2P scaffolds 1-4, D8 Ind #2,sample,liquid,EXP135,F4 200uM AA2P scaffolds 1-4, D8 Ind #2,,1,,200,4,20,,,,,DS,,,,06-13-2024</v>
      </c>
      <c r="X125" s="15" t="str">
        <f t="shared" si="3"/>
        <v>HP185-124
F4 200uM AA2P scaffolds 1-4, D8 Ind #2
12-30-1899</v>
      </c>
      <c r="Y125" s="15"/>
      <c r="Z125" s="15"/>
      <c r="AA125" s="15"/>
      <c r="AB125" s="15"/>
    </row>
    <row r="126" ht="15.75" customHeight="1">
      <c r="A126" s="9" t="str">
        <f>IFERROR(__xludf.DUMMYFUNCTION("if(B126="""","""", REGEXEXTRACT(B126,""(.*)-.*"") &amp; ""-"" &amp; COUNTA($B$2:B126))"),"HP185-125")</f>
        <v>HP185-125</v>
      </c>
      <c r="B126" s="10" t="s">
        <v>28</v>
      </c>
      <c r="C126" s="20" t="s">
        <v>157</v>
      </c>
      <c r="D126" s="10" t="s">
        <v>30</v>
      </c>
      <c r="E126" s="10" t="s">
        <v>31</v>
      </c>
      <c r="F126" s="10" t="s">
        <v>32</v>
      </c>
      <c r="G126" s="12" t="str">
        <f t="shared" si="1"/>
        <v>F4 150uM AA2P scaffolds 1-4, D10 Ind #2</v>
      </c>
      <c r="H126" s="17"/>
      <c r="I126" s="12">
        <v>1.0</v>
      </c>
      <c r="J126" s="16"/>
      <c r="K126" s="12">
        <v>200.0</v>
      </c>
      <c r="L126" s="12">
        <f t="array" ref="L126">if(D126= "standard", "", if(iserror(index(dilution_factor!$J$2:J387,match(dilution_factor!A126,$C$2:C387,0))),"",index(dilution_factor!$J$2:J387,match(dilution_factor!A126,$C$2:C387,0))))</f>
        <v>4</v>
      </c>
      <c r="M126" s="12">
        <v>20.0</v>
      </c>
      <c r="N126" s="16"/>
      <c r="O126" s="16"/>
      <c r="P126" s="16"/>
      <c r="Q126" s="16"/>
      <c r="R126" s="10" t="s">
        <v>33</v>
      </c>
      <c r="S126" s="10"/>
      <c r="T126" s="10"/>
      <c r="U126" s="10"/>
      <c r="V126" s="14">
        <v>45456.47419259259</v>
      </c>
      <c r="W126" s="4" t="str">
        <f t="shared" si="2"/>
        <v>HP185-125,HP185-20240613,F4 150uM AA2P scaffolds 1-4, D10 Ind #2,sample,liquid,EXP135,F4 150uM AA2P scaffolds 1-4, D10 Ind #2,,1,,200,4,20,,,,,DS,,,,06-13-2024</v>
      </c>
      <c r="X126" s="15" t="str">
        <f t="shared" si="3"/>
        <v>HP185-125
F4 150uM AA2P scaffolds 1-4, D10 Ind #2
12-30-1899</v>
      </c>
      <c r="Y126" s="15"/>
      <c r="Z126" s="15"/>
      <c r="AA126" s="15"/>
      <c r="AB126" s="15"/>
    </row>
    <row r="127" ht="15.75" customHeight="1">
      <c r="A127" s="9" t="str">
        <f>IFERROR(__xludf.DUMMYFUNCTION("if(B127="""","""", REGEXEXTRACT(B127,""(.*)-.*"") &amp; ""-"" &amp; COUNTA($B$2:B127))"),"HP185-126")</f>
        <v>HP185-126</v>
      </c>
      <c r="B127" s="10" t="s">
        <v>28</v>
      </c>
      <c r="C127" s="20" t="s">
        <v>158</v>
      </c>
      <c r="D127" s="10" t="s">
        <v>30</v>
      </c>
      <c r="E127" s="10" t="s">
        <v>31</v>
      </c>
      <c r="F127" s="10" t="s">
        <v>32</v>
      </c>
      <c r="G127" s="12" t="str">
        <f t="shared" si="1"/>
        <v>F4 100uM AA2P scaffolds 1-4, D13 Ind #2</v>
      </c>
      <c r="H127" s="17"/>
      <c r="I127" s="12">
        <v>1.0</v>
      </c>
      <c r="J127" s="16"/>
      <c r="K127" s="12">
        <v>200.0</v>
      </c>
      <c r="L127" s="12">
        <f t="array" ref="L127">if(D127= "standard", "", if(iserror(index(dilution_factor!$J$2:J387,match(dilution_factor!A127,$C$2:C387,0))),"",index(dilution_factor!$J$2:J387,match(dilution_factor!A127,$C$2:C387,0))))</f>
        <v>4</v>
      </c>
      <c r="M127" s="12">
        <v>20.0</v>
      </c>
      <c r="N127" s="16"/>
      <c r="O127" s="16"/>
      <c r="P127" s="16"/>
      <c r="Q127" s="16"/>
      <c r="R127" s="10" t="s">
        <v>33</v>
      </c>
      <c r="S127" s="10"/>
      <c r="T127" s="10"/>
      <c r="U127" s="10"/>
      <c r="V127" s="14">
        <v>45456.47419259259</v>
      </c>
      <c r="W127" s="4" t="str">
        <f t="shared" si="2"/>
        <v>HP185-126,HP185-20240613,F4 100uM AA2P scaffolds 1-4, D13 Ind #2,sample,liquid,EXP135,F4 100uM AA2P scaffolds 1-4, D13 Ind #2,,1,,200,4,20,,,,,DS,,,,06-13-2024</v>
      </c>
      <c r="X127" s="15" t="str">
        <f t="shared" si="3"/>
        <v>HP185-126
F4 100uM AA2P scaffolds 1-4, D13 Ind #2
12-30-1899</v>
      </c>
      <c r="Y127" s="15"/>
      <c r="Z127" s="15"/>
      <c r="AA127" s="15"/>
      <c r="AB127" s="15"/>
    </row>
    <row r="128" ht="15.75" customHeight="1">
      <c r="A128" s="9" t="str">
        <f>IFERROR(__xludf.DUMMYFUNCTION("if(B128="""","""", REGEXEXTRACT(B128,""(.*)-.*"") &amp; ""-"" &amp; COUNTA($B$2:B128))"),"HP185-127")</f>
        <v>HP185-127</v>
      </c>
      <c r="B128" s="10" t="s">
        <v>28</v>
      </c>
      <c r="C128" s="20" t="s">
        <v>159</v>
      </c>
      <c r="D128" s="10" t="s">
        <v>30</v>
      </c>
      <c r="E128" s="10" t="s">
        <v>31</v>
      </c>
      <c r="F128" s="10" t="s">
        <v>32</v>
      </c>
      <c r="G128" s="12" t="str">
        <f t="shared" si="1"/>
        <v>F4 100uM AA2P scaffolds 1-4, D3 Ind #3</v>
      </c>
      <c r="H128" s="17"/>
      <c r="I128" s="12">
        <v>1.0</v>
      </c>
      <c r="J128" s="16"/>
      <c r="K128" s="12">
        <v>200.0</v>
      </c>
      <c r="L128" s="12">
        <f t="array" ref="L128">if(D128= "standard", "", if(iserror(index(dilution_factor!$J$2:J387,match(dilution_factor!A128,$C$2:C387,0))),"",index(dilution_factor!$J$2:J387,match(dilution_factor!A128,$C$2:C387,0))))</f>
        <v>4</v>
      </c>
      <c r="M128" s="12">
        <v>20.0</v>
      </c>
      <c r="N128" s="16"/>
      <c r="O128" s="16"/>
      <c r="P128" s="16"/>
      <c r="Q128" s="16"/>
      <c r="R128" s="10" t="s">
        <v>33</v>
      </c>
      <c r="S128" s="10"/>
      <c r="T128" s="10"/>
      <c r="U128" s="10"/>
      <c r="V128" s="14">
        <v>45456.47419259259</v>
      </c>
      <c r="W128" s="4" t="str">
        <f t="shared" si="2"/>
        <v>HP185-127,HP185-20240613,F4 100uM AA2P scaffolds 1-4, D3 Ind #3,sample,liquid,EXP135,F4 100uM AA2P scaffolds 1-4, D3 Ind #3,,1,,200,4,20,,,,,DS,,,,06-13-2024</v>
      </c>
      <c r="X128" s="15" t="str">
        <f t="shared" si="3"/>
        <v>HP185-127
F4 100uM AA2P scaffolds 1-4, D3 Ind #3
12-30-1899</v>
      </c>
      <c r="Y128" s="15"/>
      <c r="Z128" s="15"/>
      <c r="AA128" s="15"/>
      <c r="AB128" s="15"/>
    </row>
    <row r="129" ht="15.75" customHeight="1">
      <c r="A129" s="9" t="str">
        <f>IFERROR(__xludf.DUMMYFUNCTION("if(B129="""","""", REGEXEXTRACT(B129,""(.*)-.*"") &amp; ""-"" &amp; COUNTA($B$2:B129))"),"HP185-128")</f>
        <v>HP185-128</v>
      </c>
      <c r="B129" s="10" t="s">
        <v>28</v>
      </c>
      <c r="C129" s="20" t="s">
        <v>160</v>
      </c>
      <c r="D129" s="10" t="s">
        <v>30</v>
      </c>
      <c r="E129" s="10" t="s">
        <v>31</v>
      </c>
      <c r="F129" s="10" t="s">
        <v>32</v>
      </c>
      <c r="G129" s="12" t="str">
        <f t="shared" si="1"/>
        <v>F4 50uM AA2P scaffolds 1-4, D6 Ind #3</v>
      </c>
      <c r="H129" s="17"/>
      <c r="I129" s="12">
        <v>1.0</v>
      </c>
      <c r="J129" s="16"/>
      <c r="K129" s="12">
        <v>200.0</v>
      </c>
      <c r="L129" s="12">
        <f t="array" ref="L129">if(D129= "standard", "", if(iserror(index(dilution_factor!$J$2:J387,match(dilution_factor!A129,$C$2:C387,0))),"",index(dilution_factor!$J$2:J387,match(dilution_factor!A129,$C$2:C387,0))))</f>
        <v>4</v>
      </c>
      <c r="M129" s="12">
        <v>20.0</v>
      </c>
      <c r="N129" s="16"/>
      <c r="O129" s="16"/>
      <c r="P129" s="16"/>
      <c r="Q129" s="16"/>
      <c r="R129" s="10" t="s">
        <v>33</v>
      </c>
      <c r="S129" s="10"/>
      <c r="T129" s="10"/>
      <c r="U129" s="10"/>
      <c r="V129" s="14">
        <v>45456.47419259259</v>
      </c>
      <c r="W129" s="4" t="str">
        <f t="shared" si="2"/>
        <v>HP185-128,HP185-20240613,F4 50uM AA2P scaffolds 1-4, D6 Ind #3,sample,liquid,EXP135,F4 50uM AA2P scaffolds 1-4, D6 Ind #3,,1,,200,4,20,,,,,DS,,,,06-13-2024</v>
      </c>
      <c r="X129" s="15" t="str">
        <f t="shared" si="3"/>
        <v>HP185-128
F4 50uM AA2P scaffolds 1-4, D6 Ind #3
12-30-1899</v>
      </c>
      <c r="Y129" s="15"/>
      <c r="Z129" s="15"/>
      <c r="AA129" s="15"/>
      <c r="AB129" s="15"/>
    </row>
    <row r="130" ht="15.75" customHeight="1">
      <c r="A130" s="9" t="str">
        <f>IFERROR(__xludf.DUMMYFUNCTION("if(B130="""","""", REGEXEXTRACT(B130,""(.*)-.*"") &amp; ""-"" &amp; COUNTA($B$2:B130))"),"HP185-129")</f>
        <v>HP185-129</v>
      </c>
      <c r="B130" s="10" t="s">
        <v>28</v>
      </c>
      <c r="C130" s="20" t="s">
        <v>161</v>
      </c>
      <c r="D130" s="10" t="s">
        <v>30</v>
      </c>
      <c r="E130" s="10" t="s">
        <v>31</v>
      </c>
      <c r="F130" s="10" t="s">
        <v>32</v>
      </c>
      <c r="G130" s="12" t="str">
        <f t="shared" si="1"/>
        <v>F4 250uM AA2P scaffolds 1-4, D6 Ind #3</v>
      </c>
      <c r="H130" s="17"/>
      <c r="I130" s="12">
        <v>1.0</v>
      </c>
      <c r="J130" s="16"/>
      <c r="K130" s="12">
        <v>200.0</v>
      </c>
      <c r="L130" s="12">
        <f t="array" ref="L130">if(D130= "standard", "", if(iserror(index(dilution_factor!$J$2:J387,match(dilution_factor!A130,$C$2:C387,0))),"",index(dilution_factor!$J$2:J387,match(dilution_factor!A130,$C$2:C387,0))))</f>
        <v>4</v>
      </c>
      <c r="M130" s="12">
        <v>20.0</v>
      </c>
      <c r="N130" s="16"/>
      <c r="O130" s="16"/>
      <c r="P130" s="16"/>
      <c r="Q130" s="16"/>
      <c r="R130" s="10" t="s">
        <v>33</v>
      </c>
      <c r="S130" s="10"/>
      <c r="T130" s="10"/>
      <c r="U130" s="10"/>
      <c r="V130" s="14">
        <v>45456.47419259259</v>
      </c>
      <c r="W130" s="4" t="str">
        <f t="shared" si="2"/>
        <v>HP185-129,HP185-20240613,F4 250uM AA2P scaffolds 1-4, D6 Ind #3,sample,liquid,EXP135,F4 250uM AA2P scaffolds 1-4, D6 Ind #3,,1,,200,4,20,,,,,DS,,,,06-13-2024</v>
      </c>
      <c r="X130" s="15" t="str">
        <f t="shared" si="3"/>
        <v>HP185-129
F4 250uM AA2P scaffolds 1-4, D6 Ind #3
12-30-1899</v>
      </c>
      <c r="Y130" s="15"/>
      <c r="Z130" s="15"/>
      <c r="AA130" s="15"/>
      <c r="AB130" s="15"/>
    </row>
    <row r="131" ht="15.75" customHeight="1">
      <c r="A131" s="9" t="str">
        <f>IFERROR(__xludf.DUMMYFUNCTION("if(B131="""","""", REGEXEXTRACT(B131,""(.*)-.*"") &amp; ""-"" &amp; COUNTA($B$2:B131))"),"HP185-130")</f>
        <v>HP185-130</v>
      </c>
      <c r="B131" s="10" t="s">
        <v>28</v>
      </c>
      <c r="C131" s="20" t="s">
        <v>162</v>
      </c>
      <c r="D131" s="10" t="s">
        <v>30</v>
      </c>
      <c r="E131" s="10" t="s">
        <v>31</v>
      </c>
      <c r="F131" s="10" t="s">
        <v>32</v>
      </c>
      <c r="G131" s="12" t="str">
        <f t="shared" si="1"/>
        <v>F4 200uM AA2P scaffolds 1-4, D8 Ind #3</v>
      </c>
      <c r="H131" s="17"/>
      <c r="I131" s="12">
        <v>1.0</v>
      </c>
      <c r="J131" s="16"/>
      <c r="K131" s="12">
        <v>200.0</v>
      </c>
      <c r="L131" s="12">
        <f t="array" ref="L131">if(D131= "standard", "", if(iserror(index(dilution_factor!$J$2:J387,match(dilution_factor!A131,$C$2:C387,0))),"",index(dilution_factor!$J$2:J387,match(dilution_factor!A131,$C$2:C387,0))))</f>
        <v>4</v>
      </c>
      <c r="M131" s="12">
        <v>20.0</v>
      </c>
      <c r="N131" s="16"/>
      <c r="O131" s="16"/>
      <c r="P131" s="16"/>
      <c r="Q131" s="16"/>
      <c r="R131" s="10" t="s">
        <v>33</v>
      </c>
      <c r="S131" s="10"/>
      <c r="T131" s="10"/>
      <c r="U131" s="10"/>
      <c r="V131" s="14">
        <v>45456.47419259259</v>
      </c>
      <c r="W131" s="4" t="str">
        <f t="shared" si="2"/>
        <v>HP185-130,HP185-20240613,F4 200uM AA2P scaffolds 1-4, D8 Ind #3,sample,liquid,EXP135,F4 200uM AA2P scaffolds 1-4, D8 Ind #3,,1,,200,4,20,,,,,DS,,,,06-13-2024</v>
      </c>
      <c r="X131" s="15" t="str">
        <f t="shared" si="3"/>
        <v>HP185-130
F4 200uM AA2P scaffolds 1-4, D8 Ind #3
12-30-1899</v>
      </c>
      <c r="Y131" s="15"/>
      <c r="Z131" s="15"/>
      <c r="AA131" s="15"/>
      <c r="AB131" s="15"/>
    </row>
    <row r="132" ht="15.75" customHeight="1">
      <c r="A132" s="9" t="str">
        <f>IFERROR(__xludf.DUMMYFUNCTION("if(B132="""","""", REGEXEXTRACT(B132,""(.*)-.*"") &amp; ""-"" &amp; COUNTA($B$2:B132))"),"HP185-131")</f>
        <v>HP185-131</v>
      </c>
      <c r="B132" s="10" t="s">
        <v>28</v>
      </c>
      <c r="C132" s="20" t="s">
        <v>163</v>
      </c>
      <c r="D132" s="10" t="s">
        <v>30</v>
      </c>
      <c r="E132" s="10" t="s">
        <v>31</v>
      </c>
      <c r="F132" s="10" t="s">
        <v>32</v>
      </c>
      <c r="G132" s="12" t="str">
        <f t="shared" si="1"/>
        <v>F4 150uM AA2P scaffolds 1-4, D10 Ind #3</v>
      </c>
      <c r="H132" s="17"/>
      <c r="I132" s="12">
        <v>1.0</v>
      </c>
      <c r="J132" s="16"/>
      <c r="K132" s="12">
        <v>200.0</v>
      </c>
      <c r="L132" s="12">
        <f t="array" ref="L132">if(D132= "standard", "", if(iserror(index(dilution_factor!$J$2:J387,match(dilution_factor!A132,$C$2:C387,0))),"",index(dilution_factor!$J$2:J387,match(dilution_factor!A132,$C$2:C387,0))))</f>
        <v>4</v>
      </c>
      <c r="M132" s="12">
        <v>20.0</v>
      </c>
      <c r="N132" s="16"/>
      <c r="O132" s="16"/>
      <c r="P132" s="16"/>
      <c r="Q132" s="16"/>
      <c r="R132" s="10" t="s">
        <v>33</v>
      </c>
      <c r="S132" s="10"/>
      <c r="T132" s="10"/>
      <c r="U132" s="10"/>
      <c r="V132" s="14">
        <v>45456.47419259259</v>
      </c>
      <c r="W132" s="4" t="str">
        <f t="shared" si="2"/>
        <v>HP185-131,HP185-20240613,F4 150uM AA2P scaffolds 1-4, D10 Ind #3,sample,liquid,EXP135,F4 150uM AA2P scaffolds 1-4, D10 Ind #3,,1,,200,4,20,,,,,DS,,,,06-13-2024</v>
      </c>
      <c r="X132" s="15" t="str">
        <f t="shared" si="3"/>
        <v>HP185-131
F4 150uM AA2P scaffolds 1-4, D10 Ind #3
12-30-1899</v>
      </c>
      <c r="Y132" s="15"/>
      <c r="Z132" s="15"/>
      <c r="AA132" s="15"/>
      <c r="AB132" s="15"/>
    </row>
    <row r="133" ht="15.75" customHeight="1">
      <c r="A133" s="9" t="str">
        <f>IFERROR(__xludf.DUMMYFUNCTION("if(B133="""","""", REGEXEXTRACT(B133,""(.*)-.*"") &amp; ""-"" &amp; COUNTA($B$2:B133))"),"HP185-132")</f>
        <v>HP185-132</v>
      </c>
      <c r="B133" s="10" t="s">
        <v>28</v>
      </c>
      <c r="C133" s="20" t="s">
        <v>164</v>
      </c>
      <c r="D133" s="10" t="s">
        <v>30</v>
      </c>
      <c r="E133" s="10" t="s">
        <v>31</v>
      </c>
      <c r="F133" s="10" t="s">
        <v>32</v>
      </c>
      <c r="G133" s="12" t="str">
        <f t="shared" si="1"/>
        <v>F4 100uM AA2P scaffolds 1-4, D13 Ind #3</v>
      </c>
      <c r="H133" s="17"/>
      <c r="I133" s="12">
        <v>1.0</v>
      </c>
      <c r="J133" s="16"/>
      <c r="K133" s="12">
        <v>200.0</v>
      </c>
      <c r="L133" s="12">
        <f t="array" ref="L133">if(D133= "standard", "", if(iserror(index(dilution_factor!$J$2:J387,match(dilution_factor!A133,$C$2:C387,0))),"",index(dilution_factor!$J$2:J387,match(dilution_factor!A133,$C$2:C387,0))))</f>
        <v>4</v>
      </c>
      <c r="M133" s="12">
        <v>20.0</v>
      </c>
      <c r="N133" s="16"/>
      <c r="O133" s="16"/>
      <c r="P133" s="16"/>
      <c r="Q133" s="16"/>
      <c r="R133" s="10" t="s">
        <v>33</v>
      </c>
      <c r="S133" s="10"/>
      <c r="T133" s="10"/>
      <c r="U133" s="10"/>
      <c r="V133" s="14">
        <v>45456.47419259259</v>
      </c>
      <c r="W133" s="4" t="str">
        <f t="shared" si="2"/>
        <v>HP185-132,HP185-20240613,F4 100uM AA2P scaffolds 1-4, D13 Ind #3,sample,liquid,EXP135,F4 100uM AA2P scaffolds 1-4, D13 Ind #3,,1,,200,4,20,,,,,DS,,,,06-13-2024</v>
      </c>
      <c r="X133" s="15" t="str">
        <f t="shared" si="3"/>
        <v>HP185-132
F4 100uM AA2P scaffolds 1-4, D13 Ind #3
12-30-1899</v>
      </c>
      <c r="Y133" s="15"/>
      <c r="Z133" s="15"/>
      <c r="AA133" s="15"/>
      <c r="AB133" s="15"/>
    </row>
    <row r="134" ht="15.75" customHeight="1">
      <c r="A134" s="9" t="str">
        <f>IFERROR(__xludf.DUMMYFUNCTION("if(B134="""","""", REGEXEXTRACT(B134,""(.*)-.*"") &amp; ""-"" &amp; COUNTA($B$2:B134))"),"HP185-133")</f>
        <v>HP185-133</v>
      </c>
      <c r="B134" s="10" t="s">
        <v>28</v>
      </c>
      <c r="C134" s="20" t="s">
        <v>165</v>
      </c>
      <c r="D134" s="10" t="s">
        <v>30</v>
      </c>
      <c r="E134" s="10" t="s">
        <v>31</v>
      </c>
      <c r="F134" s="10" t="s">
        <v>32</v>
      </c>
      <c r="G134" s="12" t="str">
        <f t="shared" si="1"/>
        <v>F4 150uM AA2P scaffolds 1-4, D3 Ind #1</v>
      </c>
      <c r="H134" s="17"/>
      <c r="I134" s="12">
        <v>1.0</v>
      </c>
      <c r="J134" s="16"/>
      <c r="K134" s="12">
        <v>200.0</v>
      </c>
      <c r="L134" s="12">
        <f t="array" ref="L134">if(D134= "standard", "", if(iserror(index(dilution_factor!$J$2:J387,match(dilution_factor!A134,$C$2:C387,0))),"",index(dilution_factor!$J$2:J387,match(dilution_factor!A134,$C$2:C387,0))))</f>
        <v>4</v>
      </c>
      <c r="M134" s="12">
        <v>20.0</v>
      </c>
      <c r="N134" s="16"/>
      <c r="O134" s="16"/>
      <c r="P134" s="16"/>
      <c r="Q134" s="16"/>
      <c r="R134" s="10" t="s">
        <v>33</v>
      </c>
      <c r="S134" s="10"/>
      <c r="T134" s="10"/>
      <c r="U134" s="10"/>
      <c r="V134" s="14">
        <v>45456.47419259259</v>
      </c>
      <c r="W134" s="4" t="str">
        <f t="shared" si="2"/>
        <v>HP185-133,HP185-20240613,F4 150uM AA2P scaffolds 1-4, D3 Ind #1,sample,liquid,EXP135,F4 150uM AA2P scaffolds 1-4, D3 Ind #1,,1,,200,4,20,,,,,DS,,,,06-13-2024</v>
      </c>
      <c r="X134" s="15" t="str">
        <f t="shared" si="3"/>
        <v>HP185-133
F4 150uM AA2P scaffolds 1-4, D3 Ind #1
12-30-1899</v>
      </c>
      <c r="Y134" s="15"/>
      <c r="Z134" s="15"/>
      <c r="AA134" s="15"/>
      <c r="AB134" s="15"/>
    </row>
    <row r="135" ht="15.75" customHeight="1">
      <c r="A135" s="9" t="str">
        <f>IFERROR(__xludf.DUMMYFUNCTION("if(B135="""","""", REGEXEXTRACT(B135,""(.*)-.*"") &amp; ""-"" &amp; COUNTA($B$2:B135))"),"HP185-134")</f>
        <v>HP185-134</v>
      </c>
      <c r="B135" s="10" t="s">
        <v>28</v>
      </c>
      <c r="C135" s="20" t="s">
        <v>166</v>
      </c>
      <c r="D135" s="10" t="s">
        <v>30</v>
      </c>
      <c r="E135" s="10" t="s">
        <v>31</v>
      </c>
      <c r="F135" s="10" t="s">
        <v>32</v>
      </c>
      <c r="G135" s="12" t="str">
        <f t="shared" si="1"/>
        <v>F4 100uM AA2P scaffolds 1-4, D6 Ind #1</v>
      </c>
      <c r="H135" s="17"/>
      <c r="I135" s="12">
        <v>1.0</v>
      </c>
      <c r="J135" s="16"/>
      <c r="K135" s="12">
        <v>200.0</v>
      </c>
      <c r="L135" s="12">
        <f t="array" ref="L135">if(D135= "standard", "", if(iserror(index(dilution_factor!$J$2:J387,match(dilution_factor!A135,$C$2:C387,0))),"",index(dilution_factor!$J$2:J387,match(dilution_factor!A135,$C$2:C387,0))))</f>
        <v>4</v>
      </c>
      <c r="M135" s="12">
        <v>20.0</v>
      </c>
      <c r="N135" s="16"/>
      <c r="O135" s="16"/>
      <c r="P135" s="16"/>
      <c r="Q135" s="16"/>
      <c r="R135" s="10" t="s">
        <v>33</v>
      </c>
      <c r="S135" s="10"/>
      <c r="T135" s="10"/>
      <c r="U135" s="10"/>
      <c r="V135" s="14">
        <v>45456.47419259259</v>
      </c>
      <c r="W135" s="4" t="str">
        <f t="shared" si="2"/>
        <v>HP185-134,HP185-20240613,F4 100uM AA2P scaffolds 1-4, D6 Ind #1,sample,liquid,EXP135,F4 100uM AA2P scaffolds 1-4, D6 Ind #1,,1,,200,4,20,,,,,DS,,,,06-13-2024</v>
      </c>
      <c r="X135" s="15" t="str">
        <f t="shared" si="3"/>
        <v>HP185-134
F4 100uM AA2P scaffolds 1-4, D6 Ind #1
12-30-1899</v>
      </c>
      <c r="Y135" s="15"/>
      <c r="Z135" s="15"/>
      <c r="AA135" s="15"/>
      <c r="AB135" s="15"/>
    </row>
    <row r="136" ht="15.75" customHeight="1">
      <c r="A136" s="9" t="str">
        <f>IFERROR(__xludf.DUMMYFUNCTION("if(B136="""","""", REGEXEXTRACT(B136,""(.*)-.*"") &amp; ""-"" &amp; COUNTA($B$2:B136))"),"HP185-135")</f>
        <v>HP185-135</v>
      </c>
      <c r="B136" s="10" t="s">
        <v>28</v>
      </c>
      <c r="C136" s="20" t="s">
        <v>167</v>
      </c>
      <c r="D136" s="10" t="s">
        <v>30</v>
      </c>
      <c r="E136" s="10" t="s">
        <v>31</v>
      </c>
      <c r="F136" s="10" t="s">
        <v>32</v>
      </c>
      <c r="G136" s="12" t="str">
        <f t="shared" si="1"/>
        <v>F4 50uM AA2P scaffolds 1-4, D8 Ind #1</v>
      </c>
      <c r="H136" s="17"/>
      <c r="I136" s="12">
        <v>1.0</v>
      </c>
      <c r="J136" s="16"/>
      <c r="K136" s="12">
        <v>200.0</v>
      </c>
      <c r="L136" s="12">
        <f t="array" ref="L136">if(D136= "standard", "", if(iserror(index(dilution_factor!$J$2:J387,match(dilution_factor!A136,$C$2:C387,0))),"",index(dilution_factor!$J$2:J387,match(dilution_factor!A136,$C$2:C387,0))))</f>
        <v>4</v>
      </c>
      <c r="M136" s="12">
        <v>20.0</v>
      </c>
      <c r="N136" s="16"/>
      <c r="O136" s="16"/>
      <c r="P136" s="16"/>
      <c r="Q136" s="16"/>
      <c r="R136" s="10" t="s">
        <v>33</v>
      </c>
      <c r="S136" s="10"/>
      <c r="T136" s="10"/>
      <c r="U136" s="10"/>
      <c r="V136" s="14">
        <v>45456.47419259259</v>
      </c>
      <c r="W136" s="4" t="str">
        <f t="shared" si="2"/>
        <v>HP185-135,HP185-20240613,F4 50uM AA2P scaffolds 1-4, D8 Ind #1,sample,liquid,EXP135,F4 50uM AA2P scaffolds 1-4, D8 Ind #1,,1,,200,4,20,,,,,DS,,,,06-13-2024</v>
      </c>
      <c r="X136" s="15" t="str">
        <f t="shared" si="3"/>
        <v>HP185-135
F4 50uM AA2P scaffolds 1-4, D8 Ind #1
12-30-1899</v>
      </c>
      <c r="Y136" s="15"/>
      <c r="Z136" s="15"/>
      <c r="AA136" s="15"/>
      <c r="AB136" s="15"/>
    </row>
    <row r="137" ht="15.75" customHeight="1">
      <c r="A137" s="9" t="str">
        <f>IFERROR(__xludf.DUMMYFUNCTION("if(B137="""","""", REGEXEXTRACT(B137,""(.*)-.*"") &amp; ""-"" &amp; COUNTA($B$2:B137))"),"HP185-136")</f>
        <v>HP185-136</v>
      </c>
      <c r="B137" s="10" t="s">
        <v>28</v>
      </c>
      <c r="C137" s="20" t="s">
        <v>168</v>
      </c>
      <c r="D137" s="10" t="s">
        <v>30</v>
      </c>
      <c r="E137" s="10" t="s">
        <v>31</v>
      </c>
      <c r="F137" s="10" t="s">
        <v>32</v>
      </c>
      <c r="G137" s="12" t="str">
        <f t="shared" si="1"/>
        <v>F4 250uM AA2P scaffolds 1-4, D8 Ind #1</v>
      </c>
      <c r="H137" s="17"/>
      <c r="I137" s="12">
        <v>1.0</v>
      </c>
      <c r="J137" s="16"/>
      <c r="K137" s="12">
        <v>200.0</v>
      </c>
      <c r="L137" s="12">
        <f t="array" ref="L137">if(D137= "standard", "", if(iserror(index(dilution_factor!$J$2:J387,match(dilution_factor!A137,$C$2:C387,0))),"",index(dilution_factor!$J$2:J387,match(dilution_factor!A137,$C$2:C387,0))))</f>
        <v>4</v>
      </c>
      <c r="M137" s="12">
        <v>20.0</v>
      </c>
      <c r="N137" s="16"/>
      <c r="O137" s="16"/>
      <c r="P137" s="16"/>
      <c r="Q137" s="16"/>
      <c r="R137" s="10" t="s">
        <v>33</v>
      </c>
      <c r="S137" s="10"/>
      <c r="T137" s="10"/>
      <c r="U137" s="10"/>
      <c r="V137" s="14">
        <v>45456.47419259259</v>
      </c>
      <c r="W137" s="4" t="str">
        <f t="shared" si="2"/>
        <v>HP185-136,HP185-20240613,F4 250uM AA2P scaffolds 1-4, D8 Ind #1,sample,liquid,EXP135,F4 250uM AA2P scaffolds 1-4, D8 Ind #1,,1,,200,4,20,,,,,DS,,,,06-13-2024</v>
      </c>
      <c r="X137" s="15" t="str">
        <f t="shared" si="3"/>
        <v>HP185-136
F4 250uM AA2P scaffolds 1-4, D8 Ind #1
12-30-1899</v>
      </c>
      <c r="Y137" s="15"/>
      <c r="Z137" s="15"/>
      <c r="AA137" s="15"/>
      <c r="AB137" s="15"/>
    </row>
    <row r="138" ht="15.75" customHeight="1">
      <c r="A138" s="9" t="str">
        <f>IFERROR(__xludf.DUMMYFUNCTION("if(B138="""","""", REGEXEXTRACT(B138,""(.*)-.*"") &amp; ""-"" &amp; COUNTA($B$2:B138))"),"HP185-137")</f>
        <v>HP185-137</v>
      </c>
      <c r="B138" s="10" t="s">
        <v>28</v>
      </c>
      <c r="C138" s="20" t="s">
        <v>169</v>
      </c>
      <c r="D138" s="10" t="s">
        <v>30</v>
      </c>
      <c r="E138" s="10" t="s">
        <v>31</v>
      </c>
      <c r="F138" s="10" t="s">
        <v>32</v>
      </c>
      <c r="G138" s="12" t="str">
        <f t="shared" si="1"/>
        <v>F4 200uM AA2P scaffolds 1-4, D10 Ind #1</v>
      </c>
      <c r="H138" s="17"/>
      <c r="I138" s="12">
        <v>1.0</v>
      </c>
      <c r="J138" s="16"/>
      <c r="K138" s="12">
        <v>200.0</v>
      </c>
      <c r="L138" s="12">
        <f t="array" ref="L138">if(D138= "standard", "", if(iserror(index(dilution_factor!$J$2:J387,match(dilution_factor!A138,$C$2:C387,0))),"",index(dilution_factor!$J$2:J387,match(dilution_factor!A138,$C$2:C387,0))))</f>
        <v>4</v>
      </c>
      <c r="M138" s="12">
        <v>20.0</v>
      </c>
      <c r="N138" s="16"/>
      <c r="O138" s="16"/>
      <c r="P138" s="16"/>
      <c r="Q138" s="16"/>
      <c r="R138" s="10" t="s">
        <v>33</v>
      </c>
      <c r="S138" s="10"/>
      <c r="T138" s="10"/>
      <c r="U138" s="10"/>
      <c r="V138" s="14">
        <v>45456.47419259259</v>
      </c>
      <c r="W138" s="4" t="str">
        <f t="shared" si="2"/>
        <v>HP185-137,HP185-20240613,F4 200uM AA2P scaffolds 1-4, D10 Ind #1,sample,liquid,EXP135,F4 200uM AA2P scaffolds 1-4, D10 Ind #1,,1,,200,4,20,,,,,DS,,,,06-13-2024</v>
      </c>
      <c r="X138" s="15" t="str">
        <f t="shared" si="3"/>
        <v>HP185-137
F4 200uM AA2P scaffolds 1-4, D10 Ind #1
12-30-1899</v>
      </c>
      <c r="Y138" s="15"/>
      <c r="Z138" s="15"/>
      <c r="AA138" s="15"/>
      <c r="AB138" s="15"/>
    </row>
    <row r="139" ht="15.75" customHeight="1">
      <c r="A139" s="9" t="str">
        <f>IFERROR(__xludf.DUMMYFUNCTION("if(B139="""","""", REGEXEXTRACT(B139,""(.*)-.*"") &amp; ""-"" &amp; COUNTA($B$2:B139))"),"HP185-138")</f>
        <v>HP185-138</v>
      </c>
      <c r="B139" s="10" t="s">
        <v>28</v>
      </c>
      <c r="C139" s="20" t="s">
        <v>170</v>
      </c>
      <c r="D139" s="10" t="s">
        <v>30</v>
      </c>
      <c r="E139" s="10" t="s">
        <v>31</v>
      </c>
      <c r="F139" s="10" t="s">
        <v>32</v>
      </c>
      <c r="G139" s="12" t="str">
        <f t="shared" si="1"/>
        <v>F4 150uM AA2P scaffolds 1-4, D13 Ind #1</v>
      </c>
      <c r="H139" s="17"/>
      <c r="I139" s="12">
        <v>1.0</v>
      </c>
      <c r="J139" s="16"/>
      <c r="K139" s="12">
        <v>200.0</v>
      </c>
      <c r="L139" s="12">
        <f t="array" ref="L139">if(D139= "standard", "", if(iserror(index(dilution_factor!$J$2:J387,match(dilution_factor!A139,$C$2:C387,0))),"",index(dilution_factor!$J$2:J387,match(dilution_factor!A139,$C$2:C387,0))))</f>
        <v>4</v>
      </c>
      <c r="M139" s="12">
        <v>20.0</v>
      </c>
      <c r="N139" s="16"/>
      <c r="O139" s="16"/>
      <c r="P139" s="16"/>
      <c r="Q139" s="16"/>
      <c r="R139" s="10" t="s">
        <v>33</v>
      </c>
      <c r="S139" s="10"/>
      <c r="T139" s="10"/>
      <c r="U139" s="10"/>
      <c r="V139" s="14">
        <v>45456.47419259259</v>
      </c>
      <c r="W139" s="4" t="str">
        <f t="shared" si="2"/>
        <v>HP185-138,HP185-20240613,F4 150uM AA2P scaffolds 1-4, D13 Ind #1,sample,liquid,EXP135,F4 150uM AA2P scaffolds 1-4, D13 Ind #1,,1,,200,4,20,,,,,DS,,,,06-13-2024</v>
      </c>
      <c r="X139" s="15" t="str">
        <f t="shared" si="3"/>
        <v>HP185-138
F4 150uM AA2P scaffolds 1-4, D13 Ind #1
12-30-1899</v>
      </c>
      <c r="Y139" s="15"/>
      <c r="Z139" s="15"/>
      <c r="AA139" s="15"/>
      <c r="AB139" s="15"/>
    </row>
    <row r="140" ht="15.75" customHeight="1">
      <c r="A140" s="9" t="str">
        <f>IFERROR(__xludf.DUMMYFUNCTION("if(B140="""","""", REGEXEXTRACT(B140,""(.*)-.*"") &amp; ""-"" &amp; COUNTA($B$2:B140))"),"HP185-139")</f>
        <v>HP185-139</v>
      </c>
      <c r="B140" s="10" t="s">
        <v>28</v>
      </c>
      <c r="C140" s="20" t="s">
        <v>171</v>
      </c>
      <c r="D140" s="10" t="s">
        <v>30</v>
      </c>
      <c r="E140" s="10" t="s">
        <v>31</v>
      </c>
      <c r="F140" s="10" t="s">
        <v>32</v>
      </c>
      <c r="G140" s="12" t="str">
        <f t="shared" si="1"/>
        <v>F4 150uM AA2P scaffolds 1-4, D3 Ind #2</v>
      </c>
      <c r="H140" s="17"/>
      <c r="I140" s="12">
        <v>1.0</v>
      </c>
      <c r="J140" s="16"/>
      <c r="K140" s="12">
        <v>200.0</v>
      </c>
      <c r="L140" s="12">
        <f t="array" ref="L140">if(D140= "standard", "", if(iserror(index(dilution_factor!$J$2:J387,match(dilution_factor!A140,$C$2:C387,0))),"",index(dilution_factor!$J$2:J387,match(dilution_factor!A140,$C$2:C387,0))))</f>
        <v>4</v>
      </c>
      <c r="M140" s="12">
        <v>20.0</v>
      </c>
      <c r="N140" s="16"/>
      <c r="O140" s="16"/>
      <c r="P140" s="16"/>
      <c r="Q140" s="16"/>
      <c r="R140" s="10" t="s">
        <v>33</v>
      </c>
      <c r="S140" s="10"/>
      <c r="T140" s="10"/>
      <c r="U140" s="10"/>
      <c r="V140" s="14">
        <v>45456.47419259259</v>
      </c>
      <c r="W140" s="4" t="str">
        <f t="shared" si="2"/>
        <v>HP185-139,HP185-20240613,F4 150uM AA2P scaffolds 1-4, D3 Ind #2,sample,liquid,EXP135,F4 150uM AA2P scaffolds 1-4, D3 Ind #2,,1,,200,4,20,,,,,DS,,,,06-13-2024</v>
      </c>
      <c r="X140" s="15" t="str">
        <f t="shared" si="3"/>
        <v>HP185-139
F4 150uM AA2P scaffolds 1-4, D3 Ind #2
12-30-1899</v>
      </c>
      <c r="Y140" s="15"/>
      <c r="Z140" s="15"/>
      <c r="AA140" s="15"/>
      <c r="AB140" s="15"/>
    </row>
    <row r="141" ht="15.75" customHeight="1">
      <c r="A141" s="9" t="str">
        <f>IFERROR(__xludf.DUMMYFUNCTION("if(B141="""","""", REGEXEXTRACT(B141,""(.*)-.*"") &amp; ""-"" &amp; COUNTA($B$2:B141))"),"HP185-140")</f>
        <v>HP185-140</v>
      </c>
      <c r="B141" s="10" t="s">
        <v>28</v>
      </c>
      <c r="C141" s="20" t="s">
        <v>172</v>
      </c>
      <c r="D141" s="10" t="s">
        <v>30</v>
      </c>
      <c r="E141" s="10" t="s">
        <v>31</v>
      </c>
      <c r="F141" s="10" t="s">
        <v>32</v>
      </c>
      <c r="G141" s="12" t="str">
        <f t="shared" si="1"/>
        <v>F4 100uM AA2P scaffolds 1-4, D6 Ind #2</v>
      </c>
      <c r="H141" s="17"/>
      <c r="I141" s="12">
        <v>1.0</v>
      </c>
      <c r="J141" s="16"/>
      <c r="K141" s="12">
        <v>200.0</v>
      </c>
      <c r="L141" s="12">
        <f t="array" ref="L141">if(D141= "standard", "", if(iserror(index(dilution_factor!$J$2:J387,match(dilution_factor!A141,$C$2:C387,0))),"",index(dilution_factor!$J$2:J387,match(dilution_factor!A141,$C$2:C387,0))))</f>
        <v>4</v>
      </c>
      <c r="M141" s="12">
        <v>20.0</v>
      </c>
      <c r="N141" s="16"/>
      <c r="O141" s="16"/>
      <c r="P141" s="16"/>
      <c r="Q141" s="16"/>
      <c r="R141" s="10" t="s">
        <v>33</v>
      </c>
      <c r="S141" s="10"/>
      <c r="T141" s="10"/>
      <c r="U141" s="10"/>
      <c r="V141" s="14">
        <v>45456.47419259259</v>
      </c>
      <c r="W141" s="4" t="str">
        <f t="shared" si="2"/>
        <v>HP185-140,HP185-20240613,F4 100uM AA2P scaffolds 1-4, D6 Ind #2,sample,liquid,EXP135,F4 100uM AA2P scaffolds 1-4, D6 Ind #2,,1,,200,4,20,,,,,DS,,,,06-13-2024</v>
      </c>
      <c r="X141" s="15" t="str">
        <f t="shared" si="3"/>
        <v>HP185-140
F4 100uM AA2P scaffolds 1-4, D6 Ind #2
12-30-1899</v>
      </c>
      <c r="Y141" s="15"/>
      <c r="Z141" s="15"/>
      <c r="AA141" s="15"/>
      <c r="AB141" s="15"/>
    </row>
    <row r="142" ht="15.75" customHeight="1">
      <c r="A142" s="9" t="str">
        <f>IFERROR(__xludf.DUMMYFUNCTION("if(B142="""","""", REGEXEXTRACT(B142,""(.*)-.*"") &amp; ""-"" &amp; COUNTA($B$2:B142))"),"HP185-141")</f>
        <v>HP185-141</v>
      </c>
      <c r="B142" s="10" t="s">
        <v>28</v>
      </c>
      <c r="C142" s="20" t="s">
        <v>173</v>
      </c>
      <c r="D142" s="10" t="s">
        <v>30</v>
      </c>
      <c r="E142" s="10" t="s">
        <v>31</v>
      </c>
      <c r="F142" s="10" t="s">
        <v>32</v>
      </c>
      <c r="G142" s="12" t="str">
        <f t="shared" si="1"/>
        <v>F4 50uM AA2P scaffolds 1-4, D8 Ind #2</v>
      </c>
      <c r="H142" s="17"/>
      <c r="I142" s="12">
        <v>1.0</v>
      </c>
      <c r="J142" s="16"/>
      <c r="K142" s="12">
        <v>200.0</v>
      </c>
      <c r="L142" s="12">
        <f t="array" ref="L142">if(D142= "standard", "", if(iserror(index(dilution_factor!$J$2:J387,match(dilution_factor!A142,$C$2:C387,0))),"",index(dilution_factor!$J$2:J387,match(dilution_factor!A142,$C$2:C387,0))))</f>
        <v>4</v>
      </c>
      <c r="M142" s="12">
        <v>20.0</v>
      </c>
      <c r="N142" s="16"/>
      <c r="O142" s="16"/>
      <c r="P142" s="16"/>
      <c r="Q142" s="16"/>
      <c r="R142" s="10" t="s">
        <v>33</v>
      </c>
      <c r="S142" s="10"/>
      <c r="T142" s="10"/>
      <c r="U142" s="10"/>
      <c r="V142" s="14">
        <v>45456.47419259259</v>
      </c>
      <c r="W142" s="4" t="str">
        <f t="shared" si="2"/>
        <v>HP185-141,HP185-20240613,F4 50uM AA2P scaffolds 1-4, D8 Ind #2,sample,liquid,EXP135,F4 50uM AA2P scaffolds 1-4, D8 Ind #2,,1,,200,4,20,,,,,DS,,,,06-13-2024</v>
      </c>
      <c r="X142" s="15" t="str">
        <f t="shared" si="3"/>
        <v>HP185-141
F4 50uM AA2P scaffolds 1-4, D8 Ind #2
12-30-1899</v>
      </c>
      <c r="Y142" s="15"/>
      <c r="Z142" s="15"/>
      <c r="AA142" s="15"/>
      <c r="AB142" s="15"/>
    </row>
    <row r="143" ht="15.75" customHeight="1">
      <c r="A143" s="9" t="str">
        <f>IFERROR(__xludf.DUMMYFUNCTION("if(B143="""","""", REGEXEXTRACT(B143,""(.*)-.*"") &amp; ""-"" &amp; COUNTA($B$2:B143))"),"HP185-142")</f>
        <v>HP185-142</v>
      </c>
      <c r="B143" s="10" t="s">
        <v>28</v>
      </c>
      <c r="C143" s="20" t="s">
        <v>174</v>
      </c>
      <c r="D143" s="10" t="s">
        <v>30</v>
      </c>
      <c r="E143" s="10" t="s">
        <v>31</v>
      </c>
      <c r="F143" s="10" t="s">
        <v>32</v>
      </c>
      <c r="G143" s="12" t="str">
        <f t="shared" si="1"/>
        <v>F4 250uM AA2P scaffolds 1-4, D8 Ind #2</v>
      </c>
      <c r="H143" s="17"/>
      <c r="I143" s="12">
        <v>1.0</v>
      </c>
      <c r="J143" s="16"/>
      <c r="K143" s="12">
        <v>200.0</v>
      </c>
      <c r="L143" s="12">
        <f t="array" ref="L143">if(D143= "standard", "", if(iserror(index(dilution_factor!$J$2:J387,match(dilution_factor!A143,$C$2:C387,0))),"",index(dilution_factor!$J$2:J387,match(dilution_factor!A143,$C$2:C387,0))))</f>
        <v>4</v>
      </c>
      <c r="M143" s="12">
        <v>20.0</v>
      </c>
      <c r="N143" s="16"/>
      <c r="O143" s="16"/>
      <c r="P143" s="16"/>
      <c r="Q143" s="16"/>
      <c r="R143" s="10" t="s">
        <v>33</v>
      </c>
      <c r="S143" s="10"/>
      <c r="T143" s="10"/>
      <c r="U143" s="10"/>
      <c r="V143" s="14">
        <v>45456.47419259259</v>
      </c>
      <c r="W143" s="4" t="str">
        <f t="shared" si="2"/>
        <v>HP185-142,HP185-20240613,F4 250uM AA2P scaffolds 1-4, D8 Ind #2,sample,liquid,EXP135,F4 250uM AA2P scaffolds 1-4, D8 Ind #2,,1,,200,4,20,,,,,DS,,,,06-13-2024</v>
      </c>
      <c r="X143" s="15" t="str">
        <f t="shared" si="3"/>
        <v>HP185-142
F4 250uM AA2P scaffolds 1-4, D8 Ind #2
12-30-1899</v>
      </c>
      <c r="Y143" s="15"/>
      <c r="Z143" s="15"/>
      <c r="AA143" s="15"/>
      <c r="AB143" s="15"/>
    </row>
    <row r="144" ht="15.75" customHeight="1">
      <c r="A144" s="9" t="str">
        <f>IFERROR(__xludf.DUMMYFUNCTION("if(B144="""","""", REGEXEXTRACT(B144,""(.*)-.*"") &amp; ""-"" &amp; COUNTA($B$2:B144))"),"HP185-143")</f>
        <v>HP185-143</v>
      </c>
      <c r="B144" s="10" t="s">
        <v>28</v>
      </c>
      <c r="C144" s="20" t="s">
        <v>175</v>
      </c>
      <c r="D144" s="10" t="s">
        <v>30</v>
      </c>
      <c r="E144" s="10" t="s">
        <v>31</v>
      </c>
      <c r="F144" s="10" t="s">
        <v>32</v>
      </c>
      <c r="G144" s="12" t="str">
        <f t="shared" si="1"/>
        <v>F4 200uM AA2P scaffolds 1-4, D10 Ind #2</v>
      </c>
      <c r="H144" s="17"/>
      <c r="I144" s="12">
        <v>1.0</v>
      </c>
      <c r="J144" s="16"/>
      <c r="K144" s="12">
        <v>200.0</v>
      </c>
      <c r="L144" s="12">
        <f t="array" ref="L144">if(D144= "standard", "", if(iserror(index(dilution_factor!$J$2:J387,match(dilution_factor!A144,$C$2:C387,0))),"",index(dilution_factor!$J$2:J387,match(dilution_factor!A144,$C$2:C387,0))))</f>
        <v>4</v>
      </c>
      <c r="M144" s="12">
        <v>20.0</v>
      </c>
      <c r="N144" s="16"/>
      <c r="O144" s="16"/>
      <c r="P144" s="16"/>
      <c r="Q144" s="16"/>
      <c r="R144" s="10" t="s">
        <v>33</v>
      </c>
      <c r="S144" s="10"/>
      <c r="T144" s="10"/>
      <c r="U144" s="10"/>
      <c r="V144" s="14">
        <v>45456.47419259259</v>
      </c>
      <c r="W144" s="4" t="str">
        <f t="shared" si="2"/>
        <v>HP185-143,HP185-20240613,F4 200uM AA2P scaffolds 1-4, D10 Ind #2,sample,liquid,EXP135,F4 200uM AA2P scaffolds 1-4, D10 Ind #2,,1,,200,4,20,,,,,DS,,,,06-13-2024</v>
      </c>
      <c r="X144" s="15" t="str">
        <f t="shared" si="3"/>
        <v>HP185-143
F4 200uM AA2P scaffolds 1-4, D10 Ind #2
12-30-1899</v>
      </c>
      <c r="Y144" s="15"/>
      <c r="Z144" s="15"/>
      <c r="AA144" s="15"/>
      <c r="AB144" s="15"/>
    </row>
    <row r="145" ht="15.75" customHeight="1">
      <c r="A145" s="9" t="str">
        <f>IFERROR(__xludf.DUMMYFUNCTION("if(B145="""","""", REGEXEXTRACT(B145,""(.*)-.*"") &amp; ""-"" &amp; COUNTA($B$2:B145))"),"HP185-144")</f>
        <v>HP185-144</v>
      </c>
      <c r="B145" s="10" t="s">
        <v>28</v>
      </c>
      <c r="C145" s="20" t="s">
        <v>176</v>
      </c>
      <c r="D145" s="10" t="s">
        <v>30</v>
      </c>
      <c r="E145" s="10" t="s">
        <v>31</v>
      </c>
      <c r="F145" s="10" t="s">
        <v>32</v>
      </c>
      <c r="G145" s="12" t="str">
        <f t="shared" si="1"/>
        <v>F4 150uM AA2P scaffolds 1-4, D13 Ind #2</v>
      </c>
      <c r="H145" s="17"/>
      <c r="I145" s="12">
        <v>1.0</v>
      </c>
      <c r="J145" s="16"/>
      <c r="K145" s="12">
        <v>200.0</v>
      </c>
      <c r="L145" s="12">
        <f t="array" ref="L145">if(D145= "standard", "", if(iserror(index(dilution_factor!$J$2:J387,match(dilution_factor!A145,$C$2:C387,0))),"",index(dilution_factor!$J$2:J387,match(dilution_factor!A145,$C$2:C387,0))))</f>
        <v>4</v>
      </c>
      <c r="M145" s="12">
        <v>20.0</v>
      </c>
      <c r="N145" s="16"/>
      <c r="O145" s="16"/>
      <c r="P145" s="16"/>
      <c r="Q145" s="16"/>
      <c r="R145" s="10" t="s">
        <v>33</v>
      </c>
      <c r="S145" s="10"/>
      <c r="T145" s="10"/>
      <c r="U145" s="10"/>
      <c r="V145" s="14">
        <v>45456.47419259259</v>
      </c>
      <c r="W145" s="4" t="str">
        <f t="shared" si="2"/>
        <v>HP185-144,HP185-20240613,F4 150uM AA2P scaffolds 1-4, D13 Ind #2,sample,liquid,EXP135,F4 150uM AA2P scaffolds 1-4, D13 Ind #2,,1,,200,4,20,,,,,DS,,,,06-13-2024</v>
      </c>
      <c r="X145" s="15" t="str">
        <f t="shared" si="3"/>
        <v>HP185-144
F4 150uM AA2P scaffolds 1-4, D13 Ind #2
12-30-1899</v>
      </c>
      <c r="Y145" s="15"/>
      <c r="Z145" s="15"/>
      <c r="AA145" s="15"/>
      <c r="AB145" s="15"/>
    </row>
    <row r="146" ht="15.75" customHeight="1">
      <c r="A146" s="9" t="str">
        <f>IFERROR(__xludf.DUMMYFUNCTION("if(B146="""","""", REGEXEXTRACT(B146,""(.*)-.*"") &amp; ""-"" &amp; COUNTA($B$2:B146))"),"HP185-145")</f>
        <v>HP185-145</v>
      </c>
      <c r="B146" s="10" t="s">
        <v>28</v>
      </c>
      <c r="C146" s="20" t="s">
        <v>177</v>
      </c>
      <c r="D146" s="10" t="s">
        <v>30</v>
      </c>
      <c r="E146" s="10" t="s">
        <v>31</v>
      </c>
      <c r="F146" s="10" t="s">
        <v>32</v>
      </c>
      <c r="G146" s="12" t="str">
        <f t="shared" si="1"/>
        <v>F4 150uM AA2P scaffolds 1-4, D3 Ind #3</v>
      </c>
      <c r="H146" s="17"/>
      <c r="I146" s="12">
        <v>1.0</v>
      </c>
      <c r="J146" s="16"/>
      <c r="K146" s="12">
        <v>200.0</v>
      </c>
      <c r="L146" s="12">
        <f t="array" ref="L146">if(D146= "standard", "", if(iserror(index(dilution_factor!$J$2:J387,match(dilution_factor!A146,$C$2:C387,0))),"",index(dilution_factor!$J$2:J387,match(dilution_factor!A146,$C$2:C387,0))))</f>
        <v>4</v>
      </c>
      <c r="M146" s="12">
        <v>20.0</v>
      </c>
      <c r="N146" s="16"/>
      <c r="O146" s="16"/>
      <c r="P146" s="16"/>
      <c r="Q146" s="16"/>
      <c r="R146" s="10" t="s">
        <v>33</v>
      </c>
      <c r="S146" s="10"/>
      <c r="T146" s="10"/>
      <c r="U146" s="10"/>
      <c r="V146" s="14">
        <v>45456.47419259259</v>
      </c>
      <c r="W146" s="4" t="str">
        <f t="shared" si="2"/>
        <v>HP185-145,HP185-20240613,F4 150uM AA2P scaffolds 1-4, D3 Ind #3,sample,liquid,EXP135,F4 150uM AA2P scaffolds 1-4, D3 Ind #3,,1,,200,4,20,,,,,DS,,,,06-13-2024</v>
      </c>
      <c r="X146" s="15" t="str">
        <f t="shared" si="3"/>
        <v>HP185-145
F4 150uM AA2P scaffolds 1-4, D3 Ind #3
12-30-1899</v>
      </c>
      <c r="Y146" s="15"/>
      <c r="Z146" s="15"/>
      <c r="AA146" s="15"/>
      <c r="AB146" s="15"/>
    </row>
    <row r="147" ht="15.75" customHeight="1">
      <c r="A147" s="9" t="str">
        <f>IFERROR(__xludf.DUMMYFUNCTION("if(B147="""","""", REGEXEXTRACT(B147,""(.*)-.*"") &amp; ""-"" &amp; COUNTA($B$2:B147))"),"HP185-146")</f>
        <v>HP185-146</v>
      </c>
      <c r="B147" s="10" t="s">
        <v>28</v>
      </c>
      <c r="C147" s="20" t="s">
        <v>178</v>
      </c>
      <c r="D147" s="10" t="s">
        <v>30</v>
      </c>
      <c r="E147" s="10" t="s">
        <v>31</v>
      </c>
      <c r="F147" s="10" t="s">
        <v>32</v>
      </c>
      <c r="G147" s="12" t="str">
        <f t="shared" si="1"/>
        <v>F4 100uM AA2P scaffolds 1-4, D6 Ind #3</v>
      </c>
      <c r="H147" s="17"/>
      <c r="I147" s="12">
        <v>1.0</v>
      </c>
      <c r="J147" s="16"/>
      <c r="K147" s="12">
        <v>200.0</v>
      </c>
      <c r="L147" s="12">
        <f t="array" ref="L147">if(D147= "standard", "", if(iserror(index(dilution_factor!$J$2:J387,match(dilution_factor!A147,$C$2:C387,0))),"",index(dilution_factor!$J$2:J387,match(dilution_factor!A147,$C$2:C387,0))))</f>
        <v>4</v>
      </c>
      <c r="M147" s="12">
        <v>20.0</v>
      </c>
      <c r="N147" s="16"/>
      <c r="O147" s="16"/>
      <c r="P147" s="16"/>
      <c r="Q147" s="16"/>
      <c r="R147" s="10" t="s">
        <v>33</v>
      </c>
      <c r="S147" s="10"/>
      <c r="T147" s="10"/>
      <c r="U147" s="10"/>
      <c r="V147" s="14">
        <v>45456.47419259259</v>
      </c>
      <c r="W147" s="4" t="str">
        <f t="shared" si="2"/>
        <v>HP185-146,HP185-20240613,F4 100uM AA2P scaffolds 1-4, D6 Ind #3,sample,liquid,EXP135,F4 100uM AA2P scaffolds 1-4, D6 Ind #3,,1,,200,4,20,,,,,DS,,,,06-13-2024</v>
      </c>
      <c r="X147" s="15" t="str">
        <f t="shared" si="3"/>
        <v>HP185-146
F4 100uM AA2P scaffolds 1-4, D6 Ind #3
12-30-1899</v>
      </c>
      <c r="Y147" s="15"/>
      <c r="Z147" s="15"/>
      <c r="AA147" s="15"/>
      <c r="AB147" s="15"/>
    </row>
    <row r="148" ht="15.75" customHeight="1">
      <c r="A148" s="9" t="str">
        <f>IFERROR(__xludf.DUMMYFUNCTION("if(B148="""","""", REGEXEXTRACT(B148,""(.*)-.*"") &amp; ""-"" &amp; COUNTA($B$2:B148))"),"HP185-147")</f>
        <v>HP185-147</v>
      </c>
      <c r="B148" s="10" t="s">
        <v>28</v>
      </c>
      <c r="C148" s="20" t="s">
        <v>179</v>
      </c>
      <c r="D148" s="10" t="s">
        <v>30</v>
      </c>
      <c r="E148" s="10" t="s">
        <v>31</v>
      </c>
      <c r="F148" s="10" t="s">
        <v>32</v>
      </c>
      <c r="G148" s="12" t="str">
        <f t="shared" si="1"/>
        <v>F4 50uM AA2P scaffolds 1-4, D8 Ind #3</v>
      </c>
      <c r="H148" s="17"/>
      <c r="I148" s="12">
        <v>1.0</v>
      </c>
      <c r="J148" s="16"/>
      <c r="K148" s="12">
        <v>200.0</v>
      </c>
      <c r="L148" s="12">
        <f t="array" ref="L148">if(D148= "standard", "", if(iserror(index(dilution_factor!$J$2:J387,match(dilution_factor!A148,$C$2:C387,0))),"",index(dilution_factor!$J$2:J387,match(dilution_factor!A148,$C$2:C387,0))))</f>
        <v>4</v>
      </c>
      <c r="M148" s="12">
        <v>20.0</v>
      </c>
      <c r="N148" s="16"/>
      <c r="O148" s="16"/>
      <c r="P148" s="16"/>
      <c r="Q148" s="16"/>
      <c r="R148" s="10" t="s">
        <v>33</v>
      </c>
      <c r="S148" s="10"/>
      <c r="T148" s="10"/>
      <c r="U148" s="10"/>
      <c r="V148" s="14">
        <v>45456.47419259259</v>
      </c>
      <c r="W148" s="4" t="str">
        <f t="shared" si="2"/>
        <v>HP185-147,HP185-20240613,F4 50uM AA2P scaffolds 1-4, D8 Ind #3,sample,liquid,EXP135,F4 50uM AA2P scaffolds 1-4, D8 Ind #3,,1,,200,4,20,,,,,DS,,,,06-13-2024</v>
      </c>
      <c r="X148" s="15" t="str">
        <f t="shared" si="3"/>
        <v>HP185-147
F4 50uM AA2P scaffolds 1-4, D8 Ind #3
12-30-1899</v>
      </c>
      <c r="Y148" s="15"/>
      <c r="Z148" s="15"/>
      <c r="AA148" s="15"/>
      <c r="AB148" s="15"/>
    </row>
    <row r="149" ht="15.75" customHeight="1">
      <c r="A149" s="9" t="str">
        <f>IFERROR(__xludf.DUMMYFUNCTION("if(B149="""","""", REGEXEXTRACT(B149,""(.*)-.*"") &amp; ""-"" &amp; COUNTA($B$2:B149))"),"HP185-148")</f>
        <v>HP185-148</v>
      </c>
      <c r="B149" s="10" t="s">
        <v>28</v>
      </c>
      <c r="C149" s="20" t="s">
        <v>180</v>
      </c>
      <c r="D149" s="10" t="s">
        <v>30</v>
      </c>
      <c r="E149" s="10" t="s">
        <v>31</v>
      </c>
      <c r="F149" s="10" t="s">
        <v>32</v>
      </c>
      <c r="G149" s="12" t="str">
        <f t="shared" si="1"/>
        <v>F4 250uM AA2P scaffolds 1-4, D8 Ind #3</v>
      </c>
      <c r="H149" s="17"/>
      <c r="I149" s="12">
        <v>1.0</v>
      </c>
      <c r="J149" s="16"/>
      <c r="K149" s="12">
        <v>200.0</v>
      </c>
      <c r="L149" s="12">
        <f t="array" ref="L149">if(D149= "standard", "", if(iserror(index(dilution_factor!$J$2:J387,match(dilution_factor!A149,$C$2:C387,0))),"",index(dilution_factor!$J$2:J387,match(dilution_factor!A149,$C$2:C387,0))))</f>
        <v>4</v>
      </c>
      <c r="M149" s="12">
        <v>20.0</v>
      </c>
      <c r="N149" s="16"/>
      <c r="O149" s="16"/>
      <c r="P149" s="16"/>
      <c r="Q149" s="16"/>
      <c r="R149" s="10" t="s">
        <v>33</v>
      </c>
      <c r="S149" s="10"/>
      <c r="T149" s="10"/>
      <c r="U149" s="10"/>
      <c r="V149" s="14">
        <v>45456.47419259259</v>
      </c>
      <c r="W149" s="4" t="str">
        <f t="shared" si="2"/>
        <v>HP185-148,HP185-20240613,F4 250uM AA2P scaffolds 1-4, D8 Ind #3,sample,liquid,EXP135,F4 250uM AA2P scaffolds 1-4, D8 Ind #3,,1,,200,4,20,,,,,DS,,,,06-13-2024</v>
      </c>
      <c r="X149" s="15" t="str">
        <f t="shared" si="3"/>
        <v>HP185-148
F4 250uM AA2P scaffolds 1-4, D8 Ind #3
12-30-1899</v>
      </c>
      <c r="Y149" s="15"/>
      <c r="Z149" s="15"/>
      <c r="AA149" s="15"/>
      <c r="AB149" s="15"/>
    </row>
    <row r="150" ht="15.75" customHeight="1">
      <c r="A150" s="9" t="str">
        <f>IFERROR(__xludf.DUMMYFUNCTION("if(B150="""","""", REGEXEXTRACT(B150,""(.*)-.*"") &amp; ""-"" &amp; COUNTA($B$2:B150))"),"HP185-149")</f>
        <v>HP185-149</v>
      </c>
      <c r="B150" s="10" t="s">
        <v>28</v>
      </c>
      <c r="C150" s="20" t="s">
        <v>181</v>
      </c>
      <c r="D150" s="10" t="s">
        <v>30</v>
      </c>
      <c r="E150" s="10" t="s">
        <v>31</v>
      </c>
      <c r="F150" s="10" t="s">
        <v>32</v>
      </c>
      <c r="G150" s="12" t="str">
        <f t="shared" si="1"/>
        <v>F4 200uM AA2P scaffolds 1-4, D10 Ind #3</v>
      </c>
      <c r="H150" s="17"/>
      <c r="I150" s="12">
        <v>1.0</v>
      </c>
      <c r="J150" s="16"/>
      <c r="K150" s="12">
        <v>200.0</v>
      </c>
      <c r="L150" s="12">
        <f t="array" ref="L150">if(D150= "standard", "", if(iserror(index(dilution_factor!$J$2:J387,match(dilution_factor!A150,$C$2:C387,0))),"",index(dilution_factor!$J$2:J387,match(dilution_factor!A150,$C$2:C387,0))))</f>
        <v>4</v>
      </c>
      <c r="M150" s="12">
        <v>20.0</v>
      </c>
      <c r="N150" s="16"/>
      <c r="O150" s="16"/>
      <c r="P150" s="16"/>
      <c r="Q150" s="16"/>
      <c r="R150" s="10" t="s">
        <v>33</v>
      </c>
      <c r="S150" s="10"/>
      <c r="T150" s="10"/>
      <c r="U150" s="10"/>
      <c r="V150" s="14">
        <v>45456.47419259259</v>
      </c>
      <c r="W150" s="4" t="str">
        <f t="shared" si="2"/>
        <v>HP185-149,HP185-20240613,F4 200uM AA2P scaffolds 1-4, D10 Ind #3,sample,liquid,EXP135,F4 200uM AA2P scaffolds 1-4, D10 Ind #3,,1,,200,4,20,,,,,DS,,,,06-13-2024</v>
      </c>
      <c r="X150" s="15" t="str">
        <f t="shared" si="3"/>
        <v>HP185-149
F4 200uM AA2P scaffolds 1-4, D10 Ind #3
12-30-1899</v>
      </c>
      <c r="Y150" s="15"/>
      <c r="Z150" s="15"/>
      <c r="AA150" s="15"/>
      <c r="AB150" s="15"/>
    </row>
    <row r="151" ht="15.75" customHeight="1">
      <c r="A151" s="9" t="str">
        <f>IFERROR(__xludf.DUMMYFUNCTION("if(B151="""","""", REGEXEXTRACT(B151,""(.*)-.*"") &amp; ""-"" &amp; COUNTA($B$2:B151))"),"HP185-150")</f>
        <v>HP185-150</v>
      </c>
      <c r="B151" s="10" t="s">
        <v>28</v>
      </c>
      <c r="C151" s="20" t="s">
        <v>182</v>
      </c>
      <c r="D151" s="10" t="s">
        <v>30</v>
      </c>
      <c r="E151" s="10" t="s">
        <v>31</v>
      </c>
      <c r="F151" s="10" t="s">
        <v>32</v>
      </c>
      <c r="G151" s="12" t="str">
        <f t="shared" si="1"/>
        <v>F4 150uM AA2P scaffolds 1-4, D13 Ind #3</v>
      </c>
      <c r="H151" s="17"/>
      <c r="I151" s="12">
        <v>1.0</v>
      </c>
      <c r="J151" s="16"/>
      <c r="K151" s="12">
        <v>200.0</v>
      </c>
      <c r="L151" s="12">
        <f t="array" ref="L151">if(D151= "standard", "", if(iserror(index(dilution_factor!$J$2:J387,match(dilution_factor!A151,$C$2:C387,0))),"",index(dilution_factor!$J$2:J387,match(dilution_factor!A151,$C$2:C387,0))))</f>
        <v>4</v>
      </c>
      <c r="M151" s="12">
        <v>20.0</v>
      </c>
      <c r="N151" s="16"/>
      <c r="O151" s="16"/>
      <c r="P151" s="16"/>
      <c r="Q151" s="16"/>
      <c r="R151" s="10" t="s">
        <v>33</v>
      </c>
      <c r="S151" s="10"/>
      <c r="T151" s="10"/>
      <c r="U151" s="10"/>
      <c r="V151" s="14">
        <v>45456.47419259259</v>
      </c>
      <c r="W151" s="4" t="str">
        <f t="shared" si="2"/>
        <v>HP185-150,HP185-20240613,F4 150uM AA2P scaffolds 1-4, D13 Ind #3,sample,liquid,EXP135,F4 150uM AA2P scaffolds 1-4, D13 Ind #3,,1,,200,4,20,,,,,DS,,,,06-13-2024</v>
      </c>
      <c r="X151" s="15" t="str">
        <f t="shared" si="3"/>
        <v>HP185-150
F4 150uM AA2P scaffolds 1-4, D13 Ind #3
12-30-1899</v>
      </c>
      <c r="Y151" s="15"/>
      <c r="Z151" s="15"/>
      <c r="AA151" s="15"/>
      <c r="AB151" s="15"/>
    </row>
    <row r="152" ht="15.75" customHeight="1">
      <c r="A152" s="9" t="str">
        <f>IFERROR(__xludf.DUMMYFUNCTION("if(B152="""","""", REGEXEXTRACT(B152,""(.*)-.*"") &amp; ""-"" &amp; COUNTA($B$2:B152))"),"HP185-151")</f>
        <v>HP185-151</v>
      </c>
      <c r="B152" s="10" t="s">
        <v>28</v>
      </c>
      <c r="C152" s="21" t="s">
        <v>183</v>
      </c>
      <c r="D152" s="10" t="s">
        <v>30</v>
      </c>
      <c r="E152" s="10" t="s">
        <v>31</v>
      </c>
      <c r="F152" s="10" t="s">
        <v>32</v>
      </c>
      <c r="G152" s="12" t="str">
        <f t="shared" si="1"/>
        <v>F4 250uM AA2P scaffolds 1-4, D13 Ind #1</v>
      </c>
      <c r="H152" s="17"/>
      <c r="I152" s="12">
        <v>1.0</v>
      </c>
      <c r="J152" s="16"/>
      <c r="K152" s="12">
        <v>200.0</v>
      </c>
      <c r="L152" s="12">
        <f t="array" ref="L152">if(D152= "standard", "", if(iserror(index(dilution_factor!$J$2:J387,match(dilution_factor!A152,$C$2:C387,0))),"",index(dilution_factor!$J$2:J387,match(dilution_factor!A152,$C$2:C387,0))))</f>
        <v>4</v>
      </c>
      <c r="M152" s="12">
        <v>20.0</v>
      </c>
      <c r="N152" s="16"/>
      <c r="O152" s="16"/>
      <c r="P152" s="16"/>
      <c r="Q152" s="16"/>
      <c r="R152" s="10" t="s">
        <v>33</v>
      </c>
      <c r="S152" s="10"/>
      <c r="T152" s="10"/>
      <c r="U152" s="10"/>
      <c r="V152" s="14">
        <v>45456.47419259259</v>
      </c>
      <c r="W152" s="4" t="str">
        <f t="shared" si="2"/>
        <v>HP185-151,HP185-20240613,F4 250uM AA2P scaffolds 1-4, D13 Ind #1,sample,liquid,EXP135,F4 250uM AA2P scaffolds 1-4, D13 Ind #1,,1,,200,4,20,,,,,DS,,,,06-13-2024</v>
      </c>
      <c r="X152" s="15" t="str">
        <f t="shared" si="3"/>
        <v>HP185-151
F4 250uM AA2P scaffolds 1-4, D13 Ind #1
12-30-1899</v>
      </c>
      <c r="Y152" s="15"/>
      <c r="Z152" s="15"/>
      <c r="AA152" s="15"/>
      <c r="AB152" s="15"/>
    </row>
    <row r="153" ht="15.75" customHeight="1">
      <c r="A153" s="9" t="str">
        <f>IFERROR(__xludf.DUMMYFUNCTION("if(B153="""","""", REGEXEXTRACT(B153,""(.*)-.*"") &amp; ""-"" &amp; COUNTA($B$2:B153))"),"HP185-152")</f>
        <v>HP185-152</v>
      </c>
      <c r="B153" s="10" t="s">
        <v>28</v>
      </c>
      <c r="C153" s="21" t="s">
        <v>184</v>
      </c>
      <c r="D153" s="10" t="s">
        <v>30</v>
      </c>
      <c r="E153" s="10" t="s">
        <v>31</v>
      </c>
      <c r="F153" s="10" t="s">
        <v>32</v>
      </c>
      <c r="G153" s="12" t="str">
        <f t="shared" si="1"/>
        <v>F4 200uM AA2P scaffolds 1-4, D14 Ind #1</v>
      </c>
      <c r="H153" s="17"/>
      <c r="I153" s="12">
        <v>1.0</v>
      </c>
      <c r="J153" s="16"/>
      <c r="K153" s="12">
        <v>200.0</v>
      </c>
      <c r="L153" s="12">
        <f t="array" ref="L153">if(D153= "standard", "", if(iserror(index(dilution_factor!$J$2:J387,match(dilution_factor!A153,$C$2:C387,0))),"",index(dilution_factor!$J$2:J387,match(dilution_factor!A153,$C$2:C387,0))))</f>
        <v>4</v>
      </c>
      <c r="M153" s="12">
        <v>20.0</v>
      </c>
      <c r="N153" s="16"/>
      <c r="O153" s="16"/>
      <c r="P153" s="16"/>
      <c r="Q153" s="16"/>
      <c r="R153" s="10" t="s">
        <v>33</v>
      </c>
      <c r="S153" s="10"/>
      <c r="T153" s="10"/>
      <c r="U153" s="10"/>
      <c r="V153" s="14">
        <v>45456.47419259259</v>
      </c>
      <c r="W153" s="4" t="str">
        <f t="shared" si="2"/>
        <v>HP185-152,HP185-20240613,F4 200uM AA2P scaffolds 1-4, D14 Ind #1,sample,liquid,EXP135,F4 200uM AA2P scaffolds 1-4, D14 Ind #1,,1,,200,4,20,,,,,DS,,,,06-13-2024</v>
      </c>
      <c r="X153" s="15" t="str">
        <f t="shared" si="3"/>
        <v>HP185-152
F4 200uM AA2P scaffolds 1-4, D14 Ind #1
12-30-1899</v>
      </c>
      <c r="Y153" s="15"/>
      <c r="Z153" s="15"/>
      <c r="AA153" s="15"/>
      <c r="AB153" s="15"/>
    </row>
    <row r="154" ht="15.75" customHeight="1">
      <c r="A154" s="9" t="str">
        <f>IFERROR(__xludf.DUMMYFUNCTION("if(B154="""","""", REGEXEXTRACT(B154,""(.*)-.*"") &amp; ""-"" &amp; COUNTA($B$2:B154))"),"HP185-153")</f>
        <v>HP185-153</v>
      </c>
      <c r="B154" s="10" t="s">
        <v>28</v>
      </c>
      <c r="C154" s="25" t="s">
        <v>185</v>
      </c>
      <c r="D154" s="10" t="s">
        <v>30</v>
      </c>
      <c r="E154" s="10" t="s">
        <v>31</v>
      </c>
      <c r="F154" s="10" t="s">
        <v>32</v>
      </c>
      <c r="G154" s="12" t="str">
        <f t="shared" si="1"/>
        <v>F4 50uM AA2P scaffolds 1-4, D3 Ind #1 #G0.625</v>
      </c>
      <c r="H154" s="17"/>
      <c r="I154" s="12">
        <v>1.0</v>
      </c>
      <c r="J154" s="16"/>
      <c r="K154" s="12">
        <v>200.0</v>
      </c>
      <c r="L154" s="12">
        <f t="array" ref="L154">if(D154= "standard", "", if(iserror(index(dilution_factor!$J$2:J387,match(dilution_factor!A154,$C$2:C387,0))),"",index(dilution_factor!$J$2:J387,match(dilution_factor!A154,$C$2:C387,0))))</f>
        <v>4</v>
      </c>
      <c r="M154" s="12">
        <v>20.0</v>
      </c>
      <c r="N154" s="16"/>
      <c r="O154" s="16"/>
      <c r="P154" s="16"/>
      <c r="Q154" s="16"/>
      <c r="R154" s="10" t="s">
        <v>33</v>
      </c>
      <c r="S154" s="10"/>
      <c r="T154" s="10"/>
      <c r="U154" s="10"/>
      <c r="V154" s="14">
        <v>45456.47419259259</v>
      </c>
      <c r="W154" s="4" t="str">
        <f t="shared" si="2"/>
        <v>HP185-153,HP185-20240613,F4 50uM AA2P scaffolds 1-4, D3 Ind #1 #G0.625,sample,liquid,EXP135,F4 50uM AA2P scaffolds 1-4, D3 Ind #1 #G0.625,,1,,200,4,20,,,,,DS,,,,06-13-2024</v>
      </c>
      <c r="X154" s="15" t="str">
        <f t="shared" si="3"/>
        <v>HP185-153
F4 50uM AA2P scaffolds 1-4, D3 Ind #1 #G0.625
12-30-1899</v>
      </c>
      <c r="Y154" s="15"/>
      <c r="Z154" s="15"/>
      <c r="AA154" s="15"/>
      <c r="AB154" s="15"/>
    </row>
    <row r="155" ht="15.75" customHeight="1">
      <c r="A155" s="9" t="str">
        <f>IFERROR(__xludf.DUMMYFUNCTION("if(B155="""","""", REGEXEXTRACT(B155,""(.*)-.*"") &amp; ""-"" &amp; COUNTA($B$2:B155))"),"HP185-154")</f>
        <v>HP185-154</v>
      </c>
      <c r="B155" s="10" t="s">
        <v>28</v>
      </c>
      <c r="C155" s="23" t="s">
        <v>186</v>
      </c>
      <c r="D155" s="10" t="s">
        <v>30</v>
      </c>
      <c r="E155" s="10" t="s">
        <v>31</v>
      </c>
      <c r="F155" s="10" t="s">
        <v>32</v>
      </c>
      <c r="G155" s="12" t="str">
        <f t="shared" si="1"/>
        <v>F4 250uM AA2P scaffolds 1-4, D3 Ind #1 #G0.3125</v>
      </c>
      <c r="H155" s="17"/>
      <c r="I155" s="12">
        <v>1.0</v>
      </c>
      <c r="J155" s="16"/>
      <c r="K155" s="12">
        <v>200.0</v>
      </c>
      <c r="L155" s="12">
        <f t="array" ref="L155">if(D155= "standard", "", if(iserror(index(dilution_factor!$J$2:J387,match(dilution_factor!A155,$C$2:C387,0))),"",index(dilution_factor!$J$2:J387,match(dilution_factor!A155,$C$2:C387,0))))</f>
        <v>4</v>
      </c>
      <c r="M155" s="12">
        <v>20.0</v>
      </c>
      <c r="N155" s="16"/>
      <c r="O155" s="16"/>
      <c r="P155" s="16"/>
      <c r="Q155" s="16"/>
      <c r="R155" s="10" t="s">
        <v>33</v>
      </c>
      <c r="S155" s="10"/>
      <c r="T155" s="10"/>
      <c r="U155" s="10"/>
      <c r="V155" s="14">
        <v>45456.47419259259</v>
      </c>
      <c r="W155" s="4" t="str">
        <f t="shared" si="2"/>
        <v>HP185-154,HP185-20240613,F4 250uM AA2P scaffolds 1-4, D3 Ind #1 #G0.3125,sample,liquid,EXP135,F4 250uM AA2P scaffolds 1-4, D3 Ind #1 #G0.3125,,1,,200,4,20,,,,,DS,,,,06-13-2024</v>
      </c>
      <c r="X155" s="15" t="str">
        <f t="shared" si="3"/>
        <v>HP185-154
F4 250uM AA2P scaffolds 1-4, D3 Ind #1 #G0.3125
12-30-1899</v>
      </c>
      <c r="Y155" s="15"/>
      <c r="Z155" s="15"/>
      <c r="AA155" s="15"/>
      <c r="AB155" s="15"/>
    </row>
    <row r="156" ht="15.75" customHeight="1">
      <c r="A156" s="9" t="str">
        <f>IFERROR(__xludf.DUMMYFUNCTION("if(B156="""","""", REGEXEXTRACT(B156,""(.*)-.*"") &amp; ""-"" &amp; COUNTA($B$2:B156))"),"HP185-155")</f>
        <v>HP185-155</v>
      </c>
      <c r="B156" s="10" t="s">
        <v>28</v>
      </c>
      <c r="C156" s="24" t="s">
        <v>187</v>
      </c>
      <c r="D156" s="10" t="s">
        <v>30</v>
      </c>
      <c r="E156" s="10" t="s">
        <v>31</v>
      </c>
      <c r="F156" s="10" t="s">
        <v>32</v>
      </c>
      <c r="G156" s="12" t="str">
        <f t="shared" si="1"/>
        <v>F4 200uM AA2P scaffolds 1-4, D6 Ind #1 #G0.15625</v>
      </c>
      <c r="H156" s="17"/>
      <c r="I156" s="12">
        <v>1.0</v>
      </c>
      <c r="J156" s="16"/>
      <c r="K156" s="12">
        <v>200.0</v>
      </c>
      <c r="L156" s="12">
        <f t="array" ref="L156">if(D156= "standard", "", if(iserror(index(dilution_factor!$J$2:J387,match(dilution_factor!A156,$C$2:C387,0))),"",index(dilution_factor!$J$2:J387,match(dilution_factor!A156,$C$2:C387,0))))</f>
        <v>4</v>
      </c>
      <c r="M156" s="12">
        <v>20.0</v>
      </c>
      <c r="N156" s="16"/>
      <c r="O156" s="16"/>
      <c r="P156" s="16"/>
      <c r="Q156" s="16"/>
      <c r="R156" s="10" t="s">
        <v>33</v>
      </c>
      <c r="S156" s="10"/>
      <c r="T156" s="10"/>
      <c r="U156" s="10"/>
      <c r="V156" s="14">
        <v>45456.47419259259</v>
      </c>
      <c r="W156" s="4" t="str">
        <f t="shared" si="2"/>
        <v>HP185-155,HP185-20240613,F4 200uM AA2P scaffolds 1-4, D6 Ind #1 #G0.15625,sample,liquid,EXP135,F4 200uM AA2P scaffolds 1-4, D6 Ind #1 #G0.15625,,1,,200,4,20,,,,,DS,,,,06-13-2024</v>
      </c>
      <c r="X156" s="15" t="str">
        <f t="shared" si="3"/>
        <v>HP185-155
F4 200uM AA2P scaffolds 1-4, D6 Ind #1 #G0.15625
12-30-1899</v>
      </c>
      <c r="Y156" s="15"/>
      <c r="Z156" s="15"/>
      <c r="AA156" s="15"/>
      <c r="AB156" s="15"/>
    </row>
    <row r="157" ht="15.75" customHeight="1">
      <c r="A157" s="9" t="str">
        <f>IFERROR(__xludf.DUMMYFUNCTION("if(B157="""","""", REGEXEXTRACT(B157,""(.*)-.*"") &amp; ""-"" &amp; COUNTA($B$2:B157))"),"HP185-156")</f>
        <v>HP185-156</v>
      </c>
      <c r="B157" s="10" t="s">
        <v>28</v>
      </c>
      <c r="C157" s="21" t="s">
        <v>188</v>
      </c>
      <c r="D157" s="10" t="s">
        <v>30</v>
      </c>
      <c r="E157" s="10" t="s">
        <v>31</v>
      </c>
      <c r="F157" s="10" t="s">
        <v>32</v>
      </c>
      <c r="G157" s="12" t="str">
        <f t="shared" si="1"/>
        <v>F4 250uM AA2P scaffolds 1-4, D13 Ind #2</v>
      </c>
      <c r="H157" s="17"/>
      <c r="I157" s="12">
        <v>1.0</v>
      </c>
      <c r="J157" s="16"/>
      <c r="K157" s="12">
        <v>200.0</v>
      </c>
      <c r="L157" s="12">
        <f t="array" ref="L157">if(D157= "standard", "", if(iserror(index(dilution_factor!$J$2:J387,match(dilution_factor!A157,$C$2:C387,0))),"",index(dilution_factor!$J$2:J387,match(dilution_factor!A157,$C$2:C387,0))))</f>
        <v>4</v>
      </c>
      <c r="M157" s="12">
        <v>20.0</v>
      </c>
      <c r="N157" s="16"/>
      <c r="O157" s="16"/>
      <c r="P157" s="16"/>
      <c r="Q157" s="16"/>
      <c r="R157" s="10" t="s">
        <v>33</v>
      </c>
      <c r="S157" s="10"/>
      <c r="T157" s="10"/>
      <c r="U157" s="10"/>
      <c r="V157" s="14">
        <v>45456.47419259259</v>
      </c>
      <c r="W157" s="4" t="str">
        <f t="shared" si="2"/>
        <v>HP185-156,HP185-20240613,F4 250uM AA2P scaffolds 1-4, D13 Ind #2,sample,liquid,EXP135,F4 250uM AA2P scaffolds 1-4, D13 Ind #2,,1,,200,4,20,,,,,DS,,,,06-13-2024</v>
      </c>
      <c r="X157" s="15" t="str">
        <f t="shared" si="3"/>
        <v>HP185-156
F4 250uM AA2P scaffolds 1-4, D13 Ind #2
12-30-1899</v>
      </c>
      <c r="Y157" s="15"/>
      <c r="Z157" s="15"/>
      <c r="AA157" s="15"/>
      <c r="AB157" s="15"/>
    </row>
    <row r="158" ht="15.75" customHeight="1">
      <c r="A158" s="9" t="str">
        <f>IFERROR(__xludf.DUMMYFUNCTION("if(B158="""","""", REGEXEXTRACT(B158,""(.*)-.*"") &amp; ""-"" &amp; COUNTA($B$2:B158))"),"HP185-157")</f>
        <v>HP185-157</v>
      </c>
      <c r="B158" s="10" t="s">
        <v>28</v>
      </c>
      <c r="C158" s="21" t="s">
        <v>189</v>
      </c>
      <c r="D158" s="10" t="s">
        <v>30</v>
      </c>
      <c r="E158" s="10" t="s">
        <v>31</v>
      </c>
      <c r="F158" s="10" t="s">
        <v>32</v>
      </c>
      <c r="G158" s="12" t="str">
        <f t="shared" si="1"/>
        <v>F4 200uM AA2P scaffolds 1-4, D14 Ind #2</v>
      </c>
      <c r="H158" s="17"/>
      <c r="I158" s="12">
        <v>1.0</v>
      </c>
      <c r="J158" s="16"/>
      <c r="K158" s="12">
        <v>200.0</v>
      </c>
      <c r="L158" s="12">
        <f t="array" ref="L158">if(D158= "standard", "", if(iserror(index(dilution_factor!$J$2:J387,match(dilution_factor!A158,$C$2:C387,0))),"",index(dilution_factor!$J$2:J387,match(dilution_factor!A158,$C$2:C387,0))))</f>
        <v>4</v>
      </c>
      <c r="M158" s="12">
        <v>20.0</v>
      </c>
      <c r="N158" s="16"/>
      <c r="O158" s="16"/>
      <c r="P158" s="16"/>
      <c r="Q158" s="16"/>
      <c r="R158" s="10" t="s">
        <v>33</v>
      </c>
      <c r="S158" s="10"/>
      <c r="T158" s="10"/>
      <c r="U158" s="10"/>
      <c r="V158" s="14">
        <v>45456.47419259259</v>
      </c>
      <c r="W158" s="4" t="str">
        <f t="shared" si="2"/>
        <v>HP185-157,HP185-20240613,F4 200uM AA2P scaffolds 1-4, D14 Ind #2,sample,liquid,EXP135,F4 200uM AA2P scaffolds 1-4, D14 Ind #2,,1,,200,4,20,,,,,DS,,,,06-13-2024</v>
      </c>
      <c r="X158" s="15" t="str">
        <f t="shared" si="3"/>
        <v>HP185-157
F4 200uM AA2P scaffolds 1-4, D14 Ind #2
12-30-1899</v>
      </c>
      <c r="Y158" s="15"/>
      <c r="Z158" s="15"/>
      <c r="AA158" s="15"/>
      <c r="AB158" s="15"/>
    </row>
    <row r="159" ht="15.75" customHeight="1">
      <c r="A159" s="9" t="str">
        <f>IFERROR(__xludf.DUMMYFUNCTION("if(B159="""","""", REGEXEXTRACT(B159,""(.*)-.*"") &amp; ""-"" &amp; COUNTA($B$2:B159))"),"HP185-158")</f>
        <v>HP185-158</v>
      </c>
      <c r="B159" s="10" t="s">
        <v>28</v>
      </c>
      <c r="C159" s="25" t="s">
        <v>190</v>
      </c>
      <c r="D159" s="10" t="s">
        <v>30</v>
      </c>
      <c r="E159" s="10" t="s">
        <v>31</v>
      </c>
      <c r="F159" s="10" t="s">
        <v>32</v>
      </c>
      <c r="G159" s="12" t="str">
        <f t="shared" si="1"/>
        <v>F4 50uM AA2P scaffolds 1-4, D3 Ind #2 #G0.625</v>
      </c>
      <c r="H159" s="17"/>
      <c r="I159" s="12">
        <v>1.0</v>
      </c>
      <c r="J159" s="16"/>
      <c r="K159" s="12">
        <v>200.0</v>
      </c>
      <c r="L159" s="12">
        <f t="array" ref="L159">if(D159= "standard", "", if(iserror(index(dilution_factor!$J$2:J387,match(dilution_factor!A159,$C$2:C387,0))),"",index(dilution_factor!$J$2:J387,match(dilution_factor!A159,$C$2:C387,0))))</f>
        <v>4</v>
      </c>
      <c r="M159" s="12">
        <v>20.0</v>
      </c>
      <c r="N159" s="16"/>
      <c r="O159" s="16"/>
      <c r="P159" s="16"/>
      <c r="Q159" s="16"/>
      <c r="R159" s="10" t="s">
        <v>33</v>
      </c>
      <c r="S159" s="10"/>
      <c r="T159" s="10"/>
      <c r="U159" s="10"/>
      <c r="V159" s="14">
        <v>45456.47419259259</v>
      </c>
      <c r="W159" s="4" t="str">
        <f t="shared" si="2"/>
        <v>HP185-158,HP185-20240613,F4 50uM AA2P scaffolds 1-4, D3 Ind #2 #G0.625,sample,liquid,EXP135,F4 50uM AA2P scaffolds 1-4, D3 Ind #2 #G0.625,,1,,200,4,20,,,,,DS,,,,06-13-2024</v>
      </c>
      <c r="X159" s="15" t="str">
        <f t="shared" si="3"/>
        <v>HP185-158
F4 50uM AA2P scaffolds 1-4, D3 Ind #2 #G0.625
12-30-1899</v>
      </c>
      <c r="Y159" s="15"/>
      <c r="Z159" s="15"/>
      <c r="AA159" s="15"/>
      <c r="AB159" s="15"/>
    </row>
    <row r="160" ht="15.75" customHeight="1">
      <c r="A160" s="9" t="str">
        <f>IFERROR(__xludf.DUMMYFUNCTION("if(B160="""","""", REGEXEXTRACT(B160,""(.*)-.*"") &amp; ""-"" &amp; COUNTA($B$2:B160))"),"HP185-159")</f>
        <v>HP185-159</v>
      </c>
      <c r="B160" s="10" t="s">
        <v>28</v>
      </c>
      <c r="C160" s="23" t="s">
        <v>191</v>
      </c>
      <c r="D160" s="10" t="s">
        <v>30</v>
      </c>
      <c r="E160" s="10" t="s">
        <v>31</v>
      </c>
      <c r="F160" s="10" t="s">
        <v>32</v>
      </c>
      <c r="G160" s="12" t="str">
        <f t="shared" si="1"/>
        <v>F4 250uM AA2P scaffolds 1-4, D3 Ind #2 #G0.3125</v>
      </c>
      <c r="H160" s="17"/>
      <c r="I160" s="12">
        <v>1.0</v>
      </c>
      <c r="J160" s="16"/>
      <c r="K160" s="12">
        <v>200.0</v>
      </c>
      <c r="L160" s="12">
        <f t="array" ref="L160">if(D160= "standard", "", if(iserror(index(dilution_factor!$J$2:J387,match(dilution_factor!A160,$C$2:C387,0))),"",index(dilution_factor!$J$2:J387,match(dilution_factor!A160,$C$2:C387,0))))</f>
        <v>4</v>
      </c>
      <c r="M160" s="12">
        <v>20.0</v>
      </c>
      <c r="N160" s="16"/>
      <c r="O160" s="16"/>
      <c r="P160" s="16"/>
      <c r="Q160" s="16"/>
      <c r="R160" s="10" t="s">
        <v>33</v>
      </c>
      <c r="S160" s="10"/>
      <c r="T160" s="10"/>
      <c r="U160" s="10"/>
      <c r="V160" s="14">
        <v>45456.47419259259</v>
      </c>
      <c r="W160" s="4" t="str">
        <f t="shared" si="2"/>
        <v>HP185-159,HP185-20240613,F4 250uM AA2P scaffolds 1-4, D3 Ind #2 #G0.3125,sample,liquid,EXP135,F4 250uM AA2P scaffolds 1-4, D3 Ind #2 #G0.3125,,1,,200,4,20,,,,,DS,,,,06-13-2024</v>
      </c>
      <c r="X160" s="15" t="str">
        <f t="shared" si="3"/>
        <v>HP185-159
F4 250uM AA2P scaffolds 1-4, D3 Ind #2 #G0.3125
12-30-1899</v>
      </c>
      <c r="Y160" s="15"/>
      <c r="Z160" s="15"/>
      <c r="AA160" s="15"/>
      <c r="AB160" s="15"/>
    </row>
    <row r="161" ht="15.75" customHeight="1">
      <c r="A161" s="9" t="str">
        <f>IFERROR(__xludf.DUMMYFUNCTION("if(B161="""","""", REGEXEXTRACT(B161,""(.*)-.*"") &amp; ""-"" &amp; COUNTA($B$2:B161))"),"HP185-160")</f>
        <v>HP185-160</v>
      </c>
      <c r="B161" s="10" t="s">
        <v>28</v>
      </c>
      <c r="C161" s="24" t="s">
        <v>192</v>
      </c>
      <c r="D161" s="10" t="s">
        <v>30</v>
      </c>
      <c r="E161" s="10" t="s">
        <v>31</v>
      </c>
      <c r="F161" s="10" t="s">
        <v>32</v>
      </c>
      <c r="G161" s="12" t="str">
        <f t="shared" si="1"/>
        <v>F4 200uM AA2P scaffolds 1-4, D6 Ind #2 #G0.15625</v>
      </c>
      <c r="H161" s="17"/>
      <c r="I161" s="12">
        <v>1.0</v>
      </c>
      <c r="J161" s="16"/>
      <c r="K161" s="12">
        <v>200.0</v>
      </c>
      <c r="L161" s="12">
        <f t="array" ref="L161">if(D161= "standard", "", if(iserror(index(dilution_factor!$J$2:J387,match(dilution_factor!A161,$C$2:C387,0))),"",index(dilution_factor!$J$2:J387,match(dilution_factor!A161,$C$2:C387,0))))</f>
        <v>4</v>
      </c>
      <c r="M161" s="12">
        <v>20.0</v>
      </c>
      <c r="N161" s="16"/>
      <c r="O161" s="16"/>
      <c r="P161" s="16"/>
      <c r="Q161" s="16"/>
      <c r="R161" s="10" t="s">
        <v>33</v>
      </c>
      <c r="S161" s="10"/>
      <c r="T161" s="10"/>
      <c r="U161" s="10"/>
      <c r="V161" s="14">
        <v>45456.47419259259</v>
      </c>
      <c r="W161" s="4" t="str">
        <f t="shared" si="2"/>
        <v>HP185-160,HP185-20240613,F4 200uM AA2P scaffolds 1-4, D6 Ind #2 #G0.15625,sample,liquid,EXP135,F4 200uM AA2P scaffolds 1-4, D6 Ind #2 #G0.15625,,1,,200,4,20,,,,,DS,,,,06-13-2024</v>
      </c>
      <c r="X161" s="15" t="str">
        <f t="shared" si="3"/>
        <v>HP185-160
F4 200uM AA2P scaffolds 1-4, D6 Ind #2 #G0.15625
12-30-1899</v>
      </c>
      <c r="Y161" s="15"/>
      <c r="Z161" s="15"/>
      <c r="AA161" s="15"/>
      <c r="AB161" s="15"/>
    </row>
    <row r="162" ht="15.75" customHeight="1">
      <c r="A162" s="9" t="str">
        <f>IFERROR(__xludf.DUMMYFUNCTION("if(B162="""","""", REGEXEXTRACT(B162,""(.*)-.*"") &amp; ""-"" &amp; COUNTA($B$2:B162))"),"HP185-161")</f>
        <v>HP185-161</v>
      </c>
      <c r="B162" s="10" t="s">
        <v>28</v>
      </c>
      <c r="C162" s="21" t="s">
        <v>193</v>
      </c>
      <c r="D162" s="10" t="s">
        <v>30</v>
      </c>
      <c r="E162" s="10" t="s">
        <v>31</v>
      </c>
      <c r="F162" s="10" t="s">
        <v>32</v>
      </c>
      <c r="G162" s="12" t="str">
        <f t="shared" si="1"/>
        <v>F4 250uM AA2P scaffolds 1-4, D13 Ind #3</v>
      </c>
      <c r="H162" s="17"/>
      <c r="I162" s="12">
        <v>1.0</v>
      </c>
      <c r="J162" s="16"/>
      <c r="K162" s="12">
        <v>200.0</v>
      </c>
      <c r="L162" s="12">
        <f t="array" ref="L162">if(D162= "standard", "", if(iserror(index(dilution_factor!$J$2:J387,match(dilution_factor!A162,$C$2:C387,0))),"",index(dilution_factor!$J$2:J387,match(dilution_factor!A162,$C$2:C387,0))))</f>
        <v>4</v>
      </c>
      <c r="M162" s="12">
        <v>20.0</v>
      </c>
      <c r="N162" s="16"/>
      <c r="O162" s="16"/>
      <c r="P162" s="16"/>
      <c r="Q162" s="16"/>
      <c r="R162" s="10" t="s">
        <v>33</v>
      </c>
      <c r="S162" s="10"/>
      <c r="T162" s="10"/>
      <c r="U162" s="10"/>
      <c r="V162" s="14">
        <v>45456.47419259259</v>
      </c>
      <c r="W162" s="4" t="str">
        <f t="shared" si="2"/>
        <v>HP185-161,HP185-20240613,F4 250uM AA2P scaffolds 1-4, D13 Ind #3,sample,liquid,EXP135,F4 250uM AA2P scaffolds 1-4, D13 Ind #3,,1,,200,4,20,,,,,DS,,,,06-13-2024</v>
      </c>
      <c r="X162" s="15" t="str">
        <f t="shared" si="3"/>
        <v>HP185-161
F4 250uM AA2P scaffolds 1-4, D13 Ind #3
12-30-1899</v>
      </c>
      <c r="Y162" s="15"/>
      <c r="Z162" s="15"/>
      <c r="AA162" s="15"/>
      <c r="AB162" s="15"/>
    </row>
    <row r="163" ht="15.75" customHeight="1">
      <c r="A163" s="9" t="str">
        <f>IFERROR(__xludf.DUMMYFUNCTION("if(B163="""","""", REGEXEXTRACT(B163,""(.*)-.*"") &amp; ""-"" &amp; COUNTA($B$2:B163))"),"HP185-162")</f>
        <v>HP185-162</v>
      </c>
      <c r="B163" s="10" t="s">
        <v>28</v>
      </c>
      <c r="C163" s="21" t="s">
        <v>194</v>
      </c>
      <c r="D163" s="10" t="s">
        <v>30</v>
      </c>
      <c r="E163" s="10" t="s">
        <v>31</v>
      </c>
      <c r="F163" s="10" t="s">
        <v>32</v>
      </c>
      <c r="G163" s="12" t="str">
        <f t="shared" si="1"/>
        <v>F4 200uM AA2P scaffolds 1-4, D14 Ind #3</v>
      </c>
      <c r="H163" s="17"/>
      <c r="I163" s="12">
        <v>1.0</v>
      </c>
      <c r="J163" s="16"/>
      <c r="K163" s="12">
        <v>200.0</v>
      </c>
      <c r="L163" s="12">
        <f t="array" ref="L163">if(D163= "standard", "", if(iserror(index(dilution_factor!$J$2:J387,match(dilution_factor!A163,$C$2:C387,0))),"",index(dilution_factor!$J$2:J387,match(dilution_factor!A163,$C$2:C387,0))))</f>
        <v>4</v>
      </c>
      <c r="M163" s="12">
        <v>20.0</v>
      </c>
      <c r="N163" s="16"/>
      <c r="O163" s="16"/>
      <c r="P163" s="16"/>
      <c r="Q163" s="16"/>
      <c r="R163" s="10" t="s">
        <v>33</v>
      </c>
      <c r="S163" s="10"/>
      <c r="T163" s="10"/>
      <c r="U163" s="10"/>
      <c r="V163" s="14">
        <v>45456.47419259259</v>
      </c>
      <c r="W163" s="4" t="str">
        <f t="shared" si="2"/>
        <v>HP185-162,HP185-20240613,F4 200uM AA2P scaffolds 1-4, D14 Ind #3,sample,liquid,EXP135,F4 200uM AA2P scaffolds 1-4, D14 Ind #3,,1,,200,4,20,,,,,DS,,,,06-13-2024</v>
      </c>
      <c r="X163" s="15" t="str">
        <f t="shared" si="3"/>
        <v>HP185-162
F4 200uM AA2P scaffolds 1-4, D14 Ind #3
12-30-1899</v>
      </c>
      <c r="Y163" s="15"/>
      <c r="Z163" s="15"/>
      <c r="AA163" s="15"/>
      <c r="AB163" s="15"/>
    </row>
    <row r="164" ht="15.75" customHeight="1">
      <c r="A164" s="9" t="str">
        <f>IFERROR(__xludf.DUMMYFUNCTION("if(B164="""","""", REGEXEXTRACT(B164,""(.*)-.*"") &amp; ""-"" &amp; COUNTA($B$2:B164))"),"HP185-163")</f>
        <v>HP185-163</v>
      </c>
      <c r="B164" s="10" t="s">
        <v>28</v>
      </c>
      <c r="C164" s="25" t="s">
        <v>195</v>
      </c>
      <c r="D164" s="10" t="s">
        <v>30</v>
      </c>
      <c r="E164" s="10" t="s">
        <v>31</v>
      </c>
      <c r="F164" s="10" t="s">
        <v>32</v>
      </c>
      <c r="G164" s="12" t="str">
        <f t="shared" si="1"/>
        <v>F4 50uM AA2P scaffolds 1-4, D3 Ind #3 #G0.625</v>
      </c>
      <c r="H164" s="17"/>
      <c r="I164" s="12">
        <v>1.0</v>
      </c>
      <c r="J164" s="16"/>
      <c r="K164" s="12">
        <v>200.0</v>
      </c>
      <c r="L164" s="12">
        <f t="array" ref="L164">if(D164= "standard", "", if(iserror(index(dilution_factor!$J$2:J387,match(dilution_factor!A164,$C$2:C387,0))),"",index(dilution_factor!$J$2:J387,match(dilution_factor!A164,$C$2:C387,0))))</f>
        <v>4</v>
      </c>
      <c r="M164" s="12">
        <v>20.0</v>
      </c>
      <c r="N164" s="16"/>
      <c r="O164" s="16"/>
      <c r="P164" s="16"/>
      <c r="Q164" s="16"/>
      <c r="R164" s="10" t="s">
        <v>33</v>
      </c>
      <c r="S164" s="10"/>
      <c r="T164" s="10"/>
      <c r="U164" s="10"/>
      <c r="V164" s="14">
        <v>45456.47419259259</v>
      </c>
      <c r="W164" s="4" t="str">
        <f t="shared" si="2"/>
        <v>HP185-163,HP185-20240613,F4 50uM AA2P scaffolds 1-4, D3 Ind #3 #G0.625,sample,liquid,EXP135,F4 50uM AA2P scaffolds 1-4, D3 Ind #3 #G0.625,,1,,200,4,20,,,,,DS,,,,06-13-2024</v>
      </c>
      <c r="X164" s="15" t="str">
        <f t="shared" si="3"/>
        <v>HP185-163
F4 50uM AA2P scaffolds 1-4, D3 Ind #3 #G0.625
12-30-1899</v>
      </c>
      <c r="Y164" s="15"/>
      <c r="Z164" s="15"/>
      <c r="AA164" s="15"/>
      <c r="AB164" s="15"/>
    </row>
    <row r="165" ht="15.75" customHeight="1">
      <c r="A165" s="9" t="str">
        <f>IFERROR(__xludf.DUMMYFUNCTION("if(B165="""","""", REGEXEXTRACT(B165,""(.*)-.*"") &amp; ""-"" &amp; COUNTA($B$2:B165))"),"HP185-164")</f>
        <v>HP185-164</v>
      </c>
      <c r="B165" s="10" t="s">
        <v>28</v>
      </c>
      <c r="C165" s="23" t="s">
        <v>196</v>
      </c>
      <c r="D165" s="10" t="s">
        <v>30</v>
      </c>
      <c r="E165" s="10" t="s">
        <v>31</v>
      </c>
      <c r="F165" s="10" t="s">
        <v>32</v>
      </c>
      <c r="G165" s="12" t="str">
        <f t="shared" si="1"/>
        <v>F4 250uM AA2P scaffolds 1-4, D3 Ind #3 #G0.3125</v>
      </c>
      <c r="H165" s="17"/>
      <c r="I165" s="12">
        <v>1.0</v>
      </c>
      <c r="J165" s="16"/>
      <c r="K165" s="12">
        <v>200.0</v>
      </c>
      <c r="L165" s="12">
        <f t="array" ref="L165">if(D165= "standard", "", if(iserror(index(dilution_factor!$J$2:J387,match(dilution_factor!A165,$C$2:C387,0))),"",index(dilution_factor!$J$2:J387,match(dilution_factor!A165,$C$2:C387,0))))</f>
        <v>4</v>
      </c>
      <c r="M165" s="12">
        <v>20.0</v>
      </c>
      <c r="N165" s="16"/>
      <c r="O165" s="16"/>
      <c r="P165" s="16"/>
      <c r="Q165" s="16"/>
      <c r="R165" s="10" t="s">
        <v>33</v>
      </c>
      <c r="S165" s="10"/>
      <c r="T165" s="10"/>
      <c r="U165" s="10"/>
      <c r="V165" s="14">
        <v>45456.47419259259</v>
      </c>
      <c r="W165" s="4" t="str">
        <f t="shared" si="2"/>
        <v>HP185-164,HP185-20240613,F4 250uM AA2P scaffolds 1-4, D3 Ind #3 #G0.3125,sample,liquid,EXP135,F4 250uM AA2P scaffolds 1-4, D3 Ind #3 #G0.3125,,1,,200,4,20,,,,,DS,,,,06-13-2024</v>
      </c>
      <c r="X165" s="15" t="str">
        <f t="shared" si="3"/>
        <v>HP185-164
F4 250uM AA2P scaffolds 1-4, D3 Ind #3 #G0.3125
12-30-1899</v>
      </c>
      <c r="Y165" s="15"/>
      <c r="Z165" s="15"/>
      <c r="AA165" s="15"/>
      <c r="AB165" s="15"/>
    </row>
    <row r="166" ht="15.75" customHeight="1">
      <c r="A166" s="9" t="str">
        <f>IFERROR(__xludf.DUMMYFUNCTION("if(B166="""","""", REGEXEXTRACT(B166,""(.*)-.*"") &amp; ""-"" &amp; COUNTA($B$2:B166))"),"HP185-165")</f>
        <v>HP185-165</v>
      </c>
      <c r="B166" s="10" t="s">
        <v>28</v>
      </c>
      <c r="C166" s="24" t="s">
        <v>197</v>
      </c>
      <c r="D166" s="10" t="s">
        <v>30</v>
      </c>
      <c r="E166" s="10" t="s">
        <v>31</v>
      </c>
      <c r="F166" s="10" t="s">
        <v>32</v>
      </c>
      <c r="G166" s="12" t="str">
        <f t="shared" si="1"/>
        <v>F4 200uM AA2P scaffolds 1-4, D6 Ind #3 #G0.15625</v>
      </c>
      <c r="H166" s="17"/>
      <c r="I166" s="12">
        <v>1.0</v>
      </c>
      <c r="J166" s="16"/>
      <c r="K166" s="12">
        <v>200.0</v>
      </c>
      <c r="L166" s="12">
        <f t="array" ref="L166">if(D166= "standard", "", if(iserror(index(dilution_factor!$J$2:J387,match(dilution_factor!A166,$C$2:C387,0))),"",index(dilution_factor!$J$2:J387,match(dilution_factor!A166,$C$2:C387,0))))</f>
        <v>4</v>
      </c>
      <c r="M166" s="12">
        <v>20.0</v>
      </c>
      <c r="N166" s="16"/>
      <c r="O166" s="16"/>
      <c r="P166" s="16"/>
      <c r="Q166" s="16"/>
      <c r="R166" s="10" t="s">
        <v>33</v>
      </c>
      <c r="S166" s="10"/>
      <c r="T166" s="10"/>
      <c r="U166" s="10"/>
      <c r="V166" s="14">
        <v>45456.47419259259</v>
      </c>
      <c r="W166" s="4" t="str">
        <f t="shared" si="2"/>
        <v>HP185-165,HP185-20240613,F4 200uM AA2P scaffolds 1-4, D6 Ind #3 #G0.15625,sample,liquid,EXP135,F4 200uM AA2P scaffolds 1-4, D6 Ind #3 #G0.15625,,1,,200,4,20,,,,,DS,,,,06-13-2024</v>
      </c>
      <c r="X166" s="15" t="str">
        <f t="shared" si="3"/>
        <v>HP185-165
F4 200uM AA2P scaffolds 1-4, D6 Ind #3 #G0.15625
12-30-1899</v>
      </c>
      <c r="Y166" s="15"/>
      <c r="Z166" s="15"/>
      <c r="AA166" s="15"/>
      <c r="AB166" s="15"/>
    </row>
    <row r="167" ht="15.75" customHeight="1">
      <c r="A167" s="9" t="str">
        <f>IFERROR(__xludf.DUMMYFUNCTION("if(B167="""","""", REGEXEXTRACT(B167,""(.*)-.*"") &amp; ""-"" &amp; COUNTA($B$2:B167))"),"HP185-166")</f>
        <v>HP185-166</v>
      </c>
      <c r="B167" s="10" t="s">
        <v>28</v>
      </c>
      <c r="C167" s="21" t="s">
        <v>198</v>
      </c>
      <c r="D167" s="10" t="s">
        <v>30</v>
      </c>
      <c r="E167" s="10" t="s">
        <v>31</v>
      </c>
      <c r="F167" s="10" t="s">
        <v>32</v>
      </c>
      <c r="G167" s="12" t="str">
        <f t="shared" si="1"/>
        <v>F4 50uM AA2P scaffolds 1-4, D14 Ind #1</v>
      </c>
      <c r="H167" s="17"/>
      <c r="I167" s="12">
        <v>1.0</v>
      </c>
      <c r="J167" s="16"/>
      <c r="K167" s="12">
        <v>200.0</v>
      </c>
      <c r="L167" s="12">
        <f t="array" ref="L167">if(D167= "standard", "", if(iserror(index(dilution_factor!$J$2:J387,match(dilution_factor!A167,$C$2:C387,0))),"",index(dilution_factor!$J$2:J387,match(dilution_factor!A167,$C$2:C387,0))))</f>
        <v>4</v>
      </c>
      <c r="M167" s="12">
        <v>20.0</v>
      </c>
      <c r="N167" s="16"/>
      <c r="O167" s="16"/>
      <c r="P167" s="16"/>
      <c r="Q167" s="16"/>
      <c r="R167" s="10" t="s">
        <v>33</v>
      </c>
      <c r="S167" s="10"/>
      <c r="T167" s="10"/>
      <c r="U167" s="10"/>
      <c r="V167" s="14">
        <v>45456.47419259259</v>
      </c>
      <c r="W167" s="4" t="str">
        <f t="shared" si="2"/>
        <v>HP185-166,HP185-20240613,F4 50uM AA2P scaffolds 1-4, D14 Ind #1,sample,liquid,EXP135,F4 50uM AA2P scaffolds 1-4, D14 Ind #1,,1,,200,4,20,,,,,DS,,,,06-13-2024</v>
      </c>
      <c r="X167" s="15" t="str">
        <f t="shared" si="3"/>
        <v>HP185-166
F4 50uM AA2P scaffolds 1-4, D14 Ind #1
12-30-1899</v>
      </c>
      <c r="Y167" s="15"/>
      <c r="Z167" s="15"/>
      <c r="AA167" s="15"/>
      <c r="AB167" s="15"/>
    </row>
    <row r="168" ht="15.75" customHeight="1">
      <c r="A168" s="9" t="str">
        <f>IFERROR(__xludf.DUMMYFUNCTION("if(B168="""","""", REGEXEXTRACT(B168,""(.*)-.*"") &amp; ""-"" &amp; COUNTA($B$2:B168))"),"HP185-167")</f>
        <v>HP185-167</v>
      </c>
      <c r="B168" s="10" t="s">
        <v>28</v>
      </c>
      <c r="C168" s="21" t="s">
        <v>199</v>
      </c>
      <c r="D168" s="10" t="s">
        <v>30</v>
      </c>
      <c r="E168" s="10" t="s">
        <v>31</v>
      </c>
      <c r="F168" s="10" t="s">
        <v>32</v>
      </c>
      <c r="G168" s="12" t="str">
        <f t="shared" si="1"/>
        <v>F4 250uM AA2P scaffolds 1-4, D14 Ind #1</v>
      </c>
      <c r="H168" s="17"/>
      <c r="I168" s="12">
        <v>1.0</v>
      </c>
      <c r="J168" s="16"/>
      <c r="K168" s="12">
        <v>200.0</v>
      </c>
      <c r="L168" s="12">
        <f t="array" ref="L168">if(D168= "standard", "", if(iserror(index(dilution_factor!$J$2:J387,match(dilution_factor!A168,$C$2:C387,0))),"",index(dilution_factor!$J$2:J387,match(dilution_factor!A168,$C$2:C387,0))))</f>
        <v>4</v>
      </c>
      <c r="M168" s="12">
        <v>20.0</v>
      </c>
      <c r="N168" s="16"/>
      <c r="O168" s="16"/>
      <c r="P168" s="16"/>
      <c r="Q168" s="16"/>
      <c r="R168" s="10" t="s">
        <v>33</v>
      </c>
      <c r="S168" s="10"/>
      <c r="T168" s="10"/>
      <c r="U168" s="10"/>
      <c r="V168" s="14">
        <v>45456.47419259259</v>
      </c>
      <c r="W168" s="4" t="str">
        <f t="shared" si="2"/>
        <v>HP185-167,HP185-20240613,F4 250uM AA2P scaffolds 1-4, D14 Ind #1,sample,liquid,EXP135,F4 250uM AA2P scaffolds 1-4, D14 Ind #1,,1,,200,4,20,,,,,DS,,,,06-13-2024</v>
      </c>
      <c r="X168" s="15" t="str">
        <f t="shared" si="3"/>
        <v>HP185-167
F4 250uM AA2P scaffolds 1-4, D14 Ind #1
12-30-1899</v>
      </c>
      <c r="Y168" s="15"/>
      <c r="Z168" s="15"/>
      <c r="AA168" s="15"/>
      <c r="AB168" s="15"/>
    </row>
    <row r="169" ht="15.75" customHeight="1">
      <c r="A169" s="9" t="str">
        <f>IFERROR(__xludf.DUMMYFUNCTION("if(B169="""","""", REGEXEXTRACT(B169,""(.*)-.*"") &amp; ""-"" &amp; COUNTA($B$2:B169))"),"HP185-168")</f>
        <v>HP185-168</v>
      </c>
      <c r="B169" s="10" t="s">
        <v>28</v>
      </c>
      <c r="C169" s="25" t="s">
        <v>200</v>
      </c>
      <c r="D169" s="10" t="s">
        <v>30</v>
      </c>
      <c r="E169" s="10" t="s">
        <v>31</v>
      </c>
      <c r="F169" s="10" t="s">
        <v>32</v>
      </c>
      <c r="G169" s="12" t="str">
        <f t="shared" si="1"/>
        <v>F4 100uM AA2P scaffolds 1-4, D3 Ind #1 #G0.625</v>
      </c>
      <c r="H169" s="17"/>
      <c r="I169" s="12">
        <v>1.0</v>
      </c>
      <c r="J169" s="16"/>
      <c r="K169" s="12">
        <v>200.0</v>
      </c>
      <c r="L169" s="12">
        <f t="array" ref="L169">if(D169= "standard", "", if(iserror(index(dilution_factor!$J$2:J387,match(dilution_factor!A169,$C$2:C387,0))),"",index(dilution_factor!$J$2:J387,match(dilution_factor!A169,$C$2:C387,0))))</f>
        <v>4</v>
      </c>
      <c r="M169" s="12">
        <v>20.0</v>
      </c>
      <c r="N169" s="16"/>
      <c r="O169" s="16"/>
      <c r="P169" s="16"/>
      <c r="Q169" s="16"/>
      <c r="R169" s="10" t="s">
        <v>33</v>
      </c>
      <c r="S169" s="10"/>
      <c r="T169" s="10"/>
      <c r="U169" s="10"/>
      <c r="V169" s="14">
        <v>45456.47419259259</v>
      </c>
      <c r="W169" s="4" t="str">
        <f t="shared" si="2"/>
        <v>HP185-168,HP185-20240613,F4 100uM AA2P scaffolds 1-4, D3 Ind #1 #G0.625,sample,liquid,EXP135,F4 100uM AA2P scaffolds 1-4, D3 Ind #1 #G0.625,,1,,200,4,20,,,,,DS,,,,06-13-2024</v>
      </c>
      <c r="X169" s="15" t="str">
        <f t="shared" si="3"/>
        <v>HP185-168
F4 100uM AA2P scaffolds 1-4, D3 Ind #1 #G0.625
12-30-1899</v>
      </c>
      <c r="Y169" s="15"/>
      <c r="Z169" s="15"/>
      <c r="AA169" s="15"/>
      <c r="AB169" s="15"/>
    </row>
    <row r="170" ht="15.75" customHeight="1">
      <c r="A170" s="9" t="str">
        <f>IFERROR(__xludf.DUMMYFUNCTION("if(B170="""","""", REGEXEXTRACT(B170,""(.*)-.*"") &amp; ""-"" &amp; COUNTA($B$2:B170))"),"HP185-169")</f>
        <v>HP185-169</v>
      </c>
      <c r="B170" s="10" t="s">
        <v>28</v>
      </c>
      <c r="C170" s="23" t="s">
        <v>201</v>
      </c>
      <c r="D170" s="10" t="s">
        <v>30</v>
      </c>
      <c r="E170" s="10" t="s">
        <v>31</v>
      </c>
      <c r="F170" s="10" t="s">
        <v>32</v>
      </c>
      <c r="G170" s="12" t="str">
        <f t="shared" si="1"/>
        <v>F4 50uM AA2P scaffolds 1-4, D6 Ind #1 #G0.3125</v>
      </c>
      <c r="H170" s="17"/>
      <c r="I170" s="12">
        <v>1.0</v>
      </c>
      <c r="J170" s="16"/>
      <c r="K170" s="12">
        <v>200.0</v>
      </c>
      <c r="L170" s="12">
        <f t="array" ref="L170">if(D170= "standard", "", if(iserror(index(dilution_factor!$J$2:J387,match(dilution_factor!A170,$C$2:C387,0))),"",index(dilution_factor!$J$2:J387,match(dilution_factor!A170,$C$2:C387,0))))</f>
        <v>4</v>
      </c>
      <c r="M170" s="12">
        <v>20.0</v>
      </c>
      <c r="N170" s="16"/>
      <c r="O170" s="16"/>
      <c r="P170" s="16"/>
      <c r="Q170" s="16"/>
      <c r="R170" s="10" t="s">
        <v>33</v>
      </c>
      <c r="S170" s="10"/>
      <c r="T170" s="10"/>
      <c r="U170" s="10"/>
      <c r="V170" s="14">
        <v>45456.47419259259</v>
      </c>
      <c r="W170" s="4" t="str">
        <f t="shared" si="2"/>
        <v>HP185-169,HP185-20240613,F4 50uM AA2P scaffolds 1-4, D6 Ind #1 #G0.3125,sample,liquid,EXP135,F4 50uM AA2P scaffolds 1-4, D6 Ind #1 #G0.3125,,1,,200,4,20,,,,,DS,,,,06-13-2024</v>
      </c>
      <c r="X170" s="15" t="str">
        <f t="shared" si="3"/>
        <v>HP185-169
F4 50uM AA2P scaffolds 1-4, D6 Ind #1 #G0.3125
12-30-1899</v>
      </c>
      <c r="Y170" s="15"/>
      <c r="Z170" s="15"/>
      <c r="AA170" s="15"/>
      <c r="AB170" s="15"/>
    </row>
    <row r="171" ht="15.75" customHeight="1">
      <c r="A171" s="9" t="str">
        <f>IFERROR(__xludf.DUMMYFUNCTION("if(B171="""","""", REGEXEXTRACT(B171,""(.*)-.*"") &amp; ""-"" &amp; COUNTA($B$2:B171))"),"HP185-170")</f>
        <v>HP185-170</v>
      </c>
      <c r="B171" s="10" t="s">
        <v>28</v>
      </c>
      <c r="C171" s="24" t="s">
        <v>202</v>
      </c>
      <c r="D171" s="10" t="s">
        <v>30</v>
      </c>
      <c r="E171" s="10" t="s">
        <v>31</v>
      </c>
      <c r="F171" s="10" t="s">
        <v>32</v>
      </c>
      <c r="G171" s="12" t="str">
        <f t="shared" si="1"/>
        <v>F4 250uM AA2P scaffolds 1-4, D6 Ind #1 #G0.15625</v>
      </c>
      <c r="H171" s="17"/>
      <c r="I171" s="12">
        <v>1.0</v>
      </c>
      <c r="J171" s="16"/>
      <c r="K171" s="12">
        <v>200.0</v>
      </c>
      <c r="L171" s="12">
        <f t="array" ref="L171">if(D171= "standard", "", if(iserror(index(dilution_factor!$J$2:J387,match(dilution_factor!A171,$C$2:C387,0))),"",index(dilution_factor!$J$2:J387,match(dilution_factor!A171,$C$2:C387,0))))</f>
        <v>4</v>
      </c>
      <c r="M171" s="12">
        <v>20.0</v>
      </c>
      <c r="N171" s="16"/>
      <c r="O171" s="16"/>
      <c r="P171" s="16"/>
      <c r="Q171" s="16"/>
      <c r="R171" s="10" t="s">
        <v>33</v>
      </c>
      <c r="S171" s="10"/>
      <c r="T171" s="10"/>
      <c r="U171" s="10"/>
      <c r="V171" s="14">
        <v>45456.47419259259</v>
      </c>
      <c r="W171" s="4" t="str">
        <f t="shared" si="2"/>
        <v>HP185-170,HP185-20240613,F4 250uM AA2P scaffolds 1-4, D6 Ind #1 #G0.15625,sample,liquid,EXP135,F4 250uM AA2P scaffolds 1-4, D6 Ind #1 #G0.15625,,1,,200,4,20,,,,,DS,,,,06-13-2024</v>
      </c>
      <c r="X171" s="15" t="str">
        <f t="shared" si="3"/>
        <v>HP185-170
F4 250uM AA2P scaffolds 1-4, D6 Ind #1 #G0.15625
12-30-1899</v>
      </c>
      <c r="Y171" s="15"/>
      <c r="Z171" s="15"/>
      <c r="AA171" s="15"/>
      <c r="AB171" s="15"/>
    </row>
    <row r="172" ht="15.75" customHeight="1">
      <c r="A172" s="9" t="str">
        <f>IFERROR(__xludf.DUMMYFUNCTION("if(B172="""","""", REGEXEXTRACT(B172,""(.*)-.*"") &amp; ""-"" &amp; COUNTA($B$2:B172))"),"HP185-171")</f>
        <v>HP185-171</v>
      </c>
      <c r="B172" s="10" t="s">
        <v>28</v>
      </c>
      <c r="C172" s="21" t="s">
        <v>203</v>
      </c>
      <c r="D172" s="10" t="s">
        <v>30</v>
      </c>
      <c r="E172" s="10" t="s">
        <v>31</v>
      </c>
      <c r="F172" s="10" t="s">
        <v>32</v>
      </c>
      <c r="G172" s="12" t="str">
        <f t="shared" si="1"/>
        <v>F4 50uM AA2P scaffolds 1-4, D14 Ind #2</v>
      </c>
      <c r="H172" s="17"/>
      <c r="I172" s="12">
        <v>1.0</v>
      </c>
      <c r="J172" s="16"/>
      <c r="K172" s="12">
        <v>200.0</v>
      </c>
      <c r="L172" s="12">
        <f t="array" ref="L172">if(D172= "standard", "", if(iserror(index(dilution_factor!$J$2:J387,match(dilution_factor!A172,$C$2:C387,0))),"",index(dilution_factor!$J$2:J387,match(dilution_factor!A172,$C$2:C387,0))))</f>
        <v>4</v>
      </c>
      <c r="M172" s="12">
        <v>20.0</v>
      </c>
      <c r="N172" s="16"/>
      <c r="O172" s="16"/>
      <c r="P172" s="16"/>
      <c r="Q172" s="16"/>
      <c r="R172" s="10" t="s">
        <v>33</v>
      </c>
      <c r="S172" s="10"/>
      <c r="T172" s="10"/>
      <c r="U172" s="10"/>
      <c r="V172" s="14">
        <v>45456.47419259259</v>
      </c>
      <c r="W172" s="4" t="str">
        <f t="shared" si="2"/>
        <v>HP185-171,HP185-20240613,F4 50uM AA2P scaffolds 1-4, D14 Ind #2,sample,liquid,EXP135,F4 50uM AA2P scaffolds 1-4, D14 Ind #2,,1,,200,4,20,,,,,DS,,,,06-13-2024</v>
      </c>
      <c r="X172" s="15" t="str">
        <f t="shared" si="3"/>
        <v>HP185-171
F4 50uM AA2P scaffolds 1-4, D14 Ind #2
12-30-1899</v>
      </c>
      <c r="Y172" s="15"/>
      <c r="Z172" s="15"/>
      <c r="AA172" s="15"/>
      <c r="AB172" s="15"/>
    </row>
    <row r="173" ht="15.75" customHeight="1">
      <c r="A173" s="9" t="str">
        <f>IFERROR(__xludf.DUMMYFUNCTION("if(B173="""","""", REGEXEXTRACT(B173,""(.*)-.*"") &amp; ""-"" &amp; COUNTA($B$2:B173))"),"HP185-172")</f>
        <v>HP185-172</v>
      </c>
      <c r="B173" s="10" t="s">
        <v>28</v>
      </c>
      <c r="C173" s="21" t="s">
        <v>204</v>
      </c>
      <c r="D173" s="10" t="s">
        <v>30</v>
      </c>
      <c r="E173" s="10" t="s">
        <v>31</v>
      </c>
      <c r="F173" s="10" t="s">
        <v>32</v>
      </c>
      <c r="G173" s="12" t="str">
        <f t="shared" si="1"/>
        <v>F4 250uM AA2P scaffolds 1-4, D14 Ind #2</v>
      </c>
      <c r="H173" s="17"/>
      <c r="I173" s="12">
        <v>1.0</v>
      </c>
      <c r="J173" s="16"/>
      <c r="K173" s="12">
        <v>200.0</v>
      </c>
      <c r="L173" s="12">
        <f t="array" ref="L173">if(D173= "standard", "", if(iserror(index(dilution_factor!$J$2:J387,match(dilution_factor!A173,$C$2:C387,0))),"",index(dilution_factor!$J$2:J387,match(dilution_factor!A173,$C$2:C387,0))))</f>
        <v>4</v>
      </c>
      <c r="M173" s="12">
        <v>20.0</v>
      </c>
      <c r="N173" s="16"/>
      <c r="O173" s="16"/>
      <c r="P173" s="16"/>
      <c r="Q173" s="16"/>
      <c r="R173" s="10" t="s">
        <v>33</v>
      </c>
      <c r="S173" s="10"/>
      <c r="T173" s="10"/>
      <c r="U173" s="10"/>
      <c r="V173" s="14">
        <v>45456.47419259259</v>
      </c>
      <c r="W173" s="4" t="str">
        <f t="shared" si="2"/>
        <v>HP185-172,HP185-20240613,F4 250uM AA2P scaffolds 1-4, D14 Ind #2,sample,liquid,EXP135,F4 250uM AA2P scaffolds 1-4, D14 Ind #2,,1,,200,4,20,,,,,DS,,,,06-13-2024</v>
      </c>
      <c r="X173" s="15" t="str">
        <f t="shared" si="3"/>
        <v>HP185-172
F4 250uM AA2P scaffolds 1-4, D14 Ind #2
12-30-1899</v>
      </c>
      <c r="Y173" s="15"/>
      <c r="Z173" s="15"/>
      <c r="AA173" s="15"/>
      <c r="AB173" s="15"/>
    </row>
    <row r="174" ht="15.75" customHeight="1">
      <c r="A174" s="9" t="str">
        <f>IFERROR(__xludf.DUMMYFUNCTION("if(B174="""","""", REGEXEXTRACT(B174,""(.*)-.*"") &amp; ""-"" &amp; COUNTA($B$2:B174))"),"HP185-173")</f>
        <v>HP185-173</v>
      </c>
      <c r="B174" s="10" t="s">
        <v>28</v>
      </c>
      <c r="C174" s="25" t="s">
        <v>205</v>
      </c>
      <c r="D174" s="10" t="s">
        <v>30</v>
      </c>
      <c r="E174" s="10" t="s">
        <v>31</v>
      </c>
      <c r="F174" s="10" t="s">
        <v>32</v>
      </c>
      <c r="G174" s="12" t="str">
        <f t="shared" si="1"/>
        <v>F4 100uM AA2P scaffolds 1-4, D3 Ind #2 #G0.625</v>
      </c>
      <c r="H174" s="17"/>
      <c r="I174" s="12">
        <v>1.0</v>
      </c>
      <c r="J174" s="16"/>
      <c r="K174" s="12">
        <v>200.0</v>
      </c>
      <c r="L174" s="12">
        <f t="array" ref="L174">if(D174= "standard", "", if(iserror(index(dilution_factor!$J$2:J387,match(dilution_factor!A174,$C$2:C387,0))),"",index(dilution_factor!$J$2:J387,match(dilution_factor!A174,$C$2:C387,0))))</f>
        <v>4</v>
      </c>
      <c r="M174" s="12">
        <v>20.0</v>
      </c>
      <c r="N174" s="16"/>
      <c r="O174" s="16"/>
      <c r="P174" s="16"/>
      <c r="Q174" s="16"/>
      <c r="R174" s="10" t="s">
        <v>33</v>
      </c>
      <c r="S174" s="10"/>
      <c r="T174" s="10"/>
      <c r="U174" s="10"/>
      <c r="V174" s="14">
        <v>45456.47419259259</v>
      </c>
      <c r="W174" s="4" t="str">
        <f t="shared" si="2"/>
        <v>HP185-173,HP185-20240613,F4 100uM AA2P scaffolds 1-4, D3 Ind #2 #G0.625,sample,liquid,EXP135,F4 100uM AA2P scaffolds 1-4, D3 Ind #2 #G0.625,,1,,200,4,20,,,,,DS,,,,06-13-2024</v>
      </c>
      <c r="X174" s="15" t="str">
        <f t="shared" si="3"/>
        <v>HP185-173
F4 100uM AA2P scaffolds 1-4, D3 Ind #2 #G0.625
12-30-1899</v>
      </c>
      <c r="Y174" s="15"/>
      <c r="Z174" s="15"/>
      <c r="AA174" s="15"/>
      <c r="AB174" s="15"/>
    </row>
    <row r="175" ht="15.75" customHeight="1">
      <c r="A175" s="9" t="str">
        <f>IFERROR(__xludf.DUMMYFUNCTION("if(B175="""","""", REGEXEXTRACT(B175,""(.*)-.*"") &amp; ""-"" &amp; COUNTA($B$2:B175))"),"HP185-174")</f>
        <v>HP185-174</v>
      </c>
      <c r="B175" s="10" t="s">
        <v>28</v>
      </c>
      <c r="C175" s="23" t="s">
        <v>206</v>
      </c>
      <c r="D175" s="10" t="s">
        <v>30</v>
      </c>
      <c r="E175" s="10" t="s">
        <v>31</v>
      </c>
      <c r="F175" s="10" t="s">
        <v>32</v>
      </c>
      <c r="G175" s="12" t="str">
        <f t="shared" si="1"/>
        <v>F4 50uM AA2P scaffolds 1-4, D6 Ind #2 #G0.3125</v>
      </c>
      <c r="H175" s="17"/>
      <c r="I175" s="12">
        <v>1.0</v>
      </c>
      <c r="J175" s="16"/>
      <c r="K175" s="12">
        <v>200.0</v>
      </c>
      <c r="L175" s="12">
        <f t="array" ref="L175">if(D175= "standard", "", if(iserror(index(dilution_factor!$J$2:J387,match(dilution_factor!A175,$C$2:C387,0))),"",index(dilution_factor!$J$2:J387,match(dilution_factor!A175,$C$2:C387,0))))</f>
        <v>4</v>
      </c>
      <c r="M175" s="12">
        <v>20.0</v>
      </c>
      <c r="N175" s="16"/>
      <c r="O175" s="16"/>
      <c r="P175" s="16"/>
      <c r="Q175" s="16"/>
      <c r="R175" s="10" t="s">
        <v>33</v>
      </c>
      <c r="S175" s="10"/>
      <c r="T175" s="10"/>
      <c r="U175" s="10"/>
      <c r="V175" s="14">
        <v>45456.47419259259</v>
      </c>
      <c r="W175" s="4" t="str">
        <f t="shared" si="2"/>
        <v>HP185-174,HP185-20240613,F4 50uM AA2P scaffolds 1-4, D6 Ind #2 #G0.3125,sample,liquid,EXP135,F4 50uM AA2P scaffolds 1-4, D6 Ind #2 #G0.3125,,1,,200,4,20,,,,,DS,,,,06-13-2024</v>
      </c>
      <c r="X175" s="15" t="str">
        <f t="shared" si="3"/>
        <v>HP185-174
F4 50uM AA2P scaffolds 1-4, D6 Ind #2 #G0.3125
12-30-1899</v>
      </c>
      <c r="Y175" s="15"/>
      <c r="Z175" s="15"/>
      <c r="AA175" s="15"/>
      <c r="AB175" s="15"/>
    </row>
    <row r="176" ht="15.75" customHeight="1">
      <c r="A176" s="9" t="str">
        <f>IFERROR(__xludf.DUMMYFUNCTION("if(B176="""","""", REGEXEXTRACT(B176,""(.*)-.*"") &amp; ""-"" &amp; COUNTA($B$2:B176))"),"HP185-175")</f>
        <v>HP185-175</v>
      </c>
      <c r="B176" s="10" t="s">
        <v>28</v>
      </c>
      <c r="C176" s="24" t="s">
        <v>207</v>
      </c>
      <c r="D176" s="10" t="s">
        <v>30</v>
      </c>
      <c r="E176" s="10" t="s">
        <v>31</v>
      </c>
      <c r="F176" s="10" t="s">
        <v>32</v>
      </c>
      <c r="G176" s="12" t="str">
        <f t="shared" si="1"/>
        <v>F4 250uM AA2P scaffolds 1-4, D6 Ind #2 #G0.15625</v>
      </c>
      <c r="H176" s="17"/>
      <c r="I176" s="12">
        <v>1.0</v>
      </c>
      <c r="J176" s="16"/>
      <c r="K176" s="12">
        <v>200.0</v>
      </c>
      <c r="L176" s="12">
        <f t="array" ref="L176">if(D176= "standard", "", if(iserror(index(dilution_factor!$J$2:J387,match(dilution_factor!A176,$C$2:C387,0))),"",index(dilution_factor!$J$2:J387,match(dilution_factor!A176,$C$2:C387,0))))</f>
        <v>4</v>
      </c>
      <c r="M176" s="12">
        <v>20.0</v>
      </c>
      <c r="N176" s="16"/>
      <c r="O176" s="16"/>
      <c r="P176" s="16"/>
      <c r="Q176" s="16"/>
      <c r="R176" s="10" t="s">
        <v>33</v>
      </c>
      <c r="S176" s="10"/>
      <c r="T176" s="10"/>
      <c r="U176" s="10"/>
      <c r="V176" s="14">
        <v>45456.47419259259</v>
      </c>
      <c r="W176" s="4" t="str">
        <f t="shared" si="2"/>
        <v>HP185-175,HP185-20240613,F4 250uM AA2P scaffolds 1-4, D6 Ind #2 #G0.15625,sample,liquid,EXP135,F4 250uM AA2P scaffolds 1-4, D6 Ind #2 #G0.15625,,1,,200,4,20,,,,,DS,,,,06-13-2024</v>
      </c>
      <c r="X176" s="15" t="str">
        <f t="shared" si="3"/>
        <v>HP185-175
F4 250uM AA2P scaffolds 1-4, D6 Ind #2 #G0.15625
12-30-1899</v>
      </c>
      <c r="Y176" s="15"/>
      <c r="Z176" s="15"/>
      <c r="AA176" s="15"/>
      <c r="AB176" s="15"/>
    </row>
    <row r="177" ht="15.75" customHeight="1">
      <c r="A177" s="9" t="str">
        <f>IFERROR(__xludf.DUMMYFUNCTION("if(B177="""","""", REGEXEXTRACT(B177,""(.*)-.*"") &amp; ""-"" &amp; COUNTA($B$2:B177))"),"HP185-176")</f>
        <v>HP185-176</v>
      </c>
      <c r="B177" s="10" t="s">
        <v>28</v>
      </c>
      <c r="C177" s="21" t="s">
        <v>208</v>
      </c>
      <c r="D177" s="10" t="s">
        <v>30</v>
      </c>
      <c r="E177" s="10" t="s">
        <v>31</v>
      </c>
      <c r="F177" s="10" t="s">
        <v>32</v>
      </c>
      <c r="G177" s="12" t="str">
        <f t="shared" si="1"/>
        <v>F4 50uM AA2P scaffolds 1-4, D14 Ind #3</v>
      </c>
      <c r="H177" s="17"/>
      <c r="I177" s="12">
        <v>1.0</v>
      </c>
      <c r="J177" s="16"/>
      <c r="K177" s="12">
        <v>200.0</v>
      </c>
      <c r="L177" s="12">
        <f t="array" ref="L177">if(D177= "standard", "", if(iserror(index(dilution_factor!$J$2:J387,match(dilution_factor!A177,$C$2:C387,0))),"",index(dilution_factor!$J$2:J387,match(dilution_factor!A177,$C$2:C387,0))))</f>
        <v>4</v>
      </c>
      <c r="M177" s="12">
        <v>20.0</v>
      </c>
      <c r="N177" s="16"/>
      <c r="O177" s="16"/>
      <c r="P177" s="16"/>
      <c r="Q177" s="16"/>
      <c r="R177" s="10" t="s">
        <v>33</v>
      </c>
      <c r="S177" s="10"/>
      <c r="T177" s="10"/>
      <c r="U177" s="10"/>
      <c r="V177" s="14">
        <v>45456.47419259259</v>
      </c>
      <c r="W177" s="4" t="str">
        <f t="shared" si="2"/>
        <v>HP185-176,HP185-20240613,F4 50uM AA2P scaffolds 1-4, D14 Ind #3,sample,liquid,EXP135,F4 50uM AA2P scaffolds 1-4, D14 Ind #3,,1,,200,4,20,,,,,DS,,,,06-13-2024</v>
      </c>
      <c r="X177" s="15" t="str">
        <f t="shared" si="3"/>
        <v>HP185-176
F4 50uM AA2P scaffolds 1-4, D14 Ind #3
12-30-1899</v>
      </c>
      <c r="Y177" s="15"/>
      <c r="Z177" s="15"/>
      <c r="AA177" s="15"/>
      <c r="AB177" s="15"/>
    </row>
    <row r="178" ht="15.75" customHeight="1">
      <c r="A178" s="9" t="str">
        <f>IFERROR(__xludf.DUMMYFUNCTION("if(B178="""","""", REGEXEXTRACT(B178,""(.*)-.*"") &amp; ""-"" &amp; COUNTA($B$2:B178))"),"HP185-177")</f>
        <v>HP185-177</v>
      </c>
      <c r="B178" s="10" t="s">
        <v>28</v>
      </c>
      <c r="C178" s="21" t="s">
        <v>209</v>
      </c>
      <c r="D178" s="10" t="s">
        <v>30</v>
      </c>
      <c r="E178" s="10" t="s">
        <v>31</v>
      </c>
      <c r="F178" s="10" t="s">
        <v>32</v>
      </c>
      <c r="G178" s="12" t="str">
        <f t="shared" si="1"/>
        <v>F4 250uM AA2P scaffolds 1-4, D14 Ind #3</v>
      </c>
      <c r="H178" s="17"/>
      <c r="I178" s="12">
        <v>1.0</v>
      </c>
      <c r="J178" s="16"/>
      <c r="K178" s="12">
        <v>200.0</v>
      </c>
      <c r="L178" s="12">
        <f t="array" ref="L178">if(D178= "standard", "", if(iserror(index(dilution_factor!$J$2:J387,match(dilution_factor!A178,$C$2:C387,0))),"",index(dilution_factor!$J$2:J387,match(dilution_factor!A178,$C$2:C387,0))))</f>
        <v>4</v>
      </c>
      <c r="M178" s="12">
        <v>20.0</v>
      </c>
      <c r="N178" s="16"/>
      <c r="O178" s="16"/>
      <c r="P178" s="16"/>
      <c r="Q178" s="16"/>
      <c r="R178" s="10" t="s">
        <v>33</v>
      </c>
      <c r="S178" s="10"/>
      <c r="T178" s="10"/>
      <c r="U178" s="10"/>
      <c r="V178" s="14">
        <v>45456.47419259259</v>
      </c>
      <c r="W178" s="4" t="str">
        <f t="shared" si="2"/>
        <v>HP185-177,HP185-20240613,F4 250uM AA2P scaffolds 1-4, D14 Ind #3,sample,liquid,EXP135,F4 250uM AA2P scaffolds 1-4, D14 Ind #3,,1,,200,4,20,,,,,DS,,,,06-13-2024</v>
      </c>
      <c r="X178" s="15" t="str">
        <f t="shared" si="3"/>
        <v>HP185-177
F4 250uM AA2P scaffolds 1-4, D14 Ind #3
12-30-1899</v>
      </c>
      <c r="Y178" s="15"/>
      <c r="Z178" s="15"/>
      <c r="AA178" s="15"/>
      <c r="AB178" s="15"/>
    </row>
    <row r="179" ht="15.75" customHeight="1">
      <c r="A179" s="9" t="str">
        <f>IFERROR(__xludf.DUMMYFUNCTION("if(B179="""","""", REGEXEXTRACT(B179,""(.*)-.*"") &amp; ""-"" &amp; COUNTA($B$2:B179))"),"HP185-178")</f>
        <v>HP185-178</v>
      </c>
      <c r="B179" s="10" t="s">
        <v>28</v>
      </c>
      <c r="C179" s="25" t="s">
        <v>210</v>
      </c>
      <c r="D179" s="10" t="s">
        <v>30</v>
      </c>
      <c r="E179" s="10" t="s">
        <v>31</v>
      </c>
      <c r="F179" s="10" t="s">
        <v>32</v>
      </c>
      <c r="G179" s="12" t="str">
        <f t="shared" si="1"/>
        <v>F4 100uM AA2P scaffolds 1-4, D3 Ind #3 #G0.625</v>
      </c>
      <c r="H179" s="17"/>
      <c r="I179" s="12">
        <v>1.0</v>
      </c>
      <c r="J179" s="16"/>
      <c r="K179" s="12">
        <v>200.0</v>
      </c>
      <c r="L179" s="12">
        <f t="array" ref="L179">if(D179= "standard", "", if(iserror(index(dilution_factor!$J$2:J387,match(dilution_factor!A179,$C$2:C387,0))),"",index(dilution_factor!$J$2:J387,match(dilution_factor!A179,$C$2:C387,0))))</f>
        <v>4</v>
      </c>
      <c r="M179" s="12">
        <v>20.0</v>
      </c>
      <c r="N179" s="16"/>
      <c r="O179" s="16"/>
      <c r="P179" s="16"/>
      <c r="Q179" s="16"/>
      <c r="R179" s="10" t="s">
        <v>33</v>
      </c>
      <c r="S179" s="10"/>
      <c r="T179" s="10"/>
      <c r="U179" s="10"/>
      <c r="V179" s="14">
        <v>45456.47419259259</v>
      </c>
      <c r="W179" s="4" t="str">
        <f t="shared" si="2"/>
        <v>HP185-178,HP185-20240613,F4 100uM AA2P scaffolds 1-4, D3 Ind #3 #G0.625,sample,liquid,EXP135,F4 100uM AA2P scaffolds 1-4, D3 Ind #3 #G0.625,,1,,200,4,20,,,,,DS,,,,06-13-2024</v>
      </c>
      <c r="X179" s="15" t="str">
        <f t="shared" si="3"/>
        <v>HP185-178
F4 100uM AA2P scaffolds 1-4, D3 Ind #3 #G0.625
12-30-1899</v>
      </c>
      <c r="Y179" s="15"/>
      <c r="Z179" s="15"/>
      <c r="AA179" s="15"/>
      <c r="AB179" s="15"/>
    </row>
    <row r="180" ht="15.75" customHeight="1">
      <c r="A180" s="9" t="str">
        <f>IFERROR(__xludf.DUMMYFUNCTION("if(B180="""","""", REGEXEXTRACT(B180,""(.*)-.*"") &amp; ""-"" &amp; COUNTA($B$2:B180))"),"HP185-179")</f>
        <v>HP185-179</v>
      </c>
      <c r="B180" s="10" t="s">
        <v>28</v>
      </c>
      <c r="C180" s="23" t="s">
        <v>211</v>
      </c>
      <c r="D180" s="10" t="s">
        <v>30</v>
      </c>
      <c r="E180" s="10" t="s">
        <v>31</v>
      </c>
      <c r="F180" s="10" t="s">
        <v>32</v>
      </c>
      <c r="G180" s="12" t="str">
        <f t="shared" si="1"/>
        <v>F4 50uM AA2P scaffolds 1-4, D6 Ind #3 #G0.3125</v>
      </c>
      <c r="H180" s="17"/>
      <c r="I180" s="12">
        <v>1.0</v>
      </c>
      <c r="J180" s="16"/>
      <c r="K180" s="12">
        <v>200.0</v>
      </c>
      <c r="L180" s="12">
        <f t="array" ref="L180">if(D180= "standard", "", if(iserror(index(dilution_factor!$J$2:J387,match(dilution_factor!A180,$C$2:C387,0))),"",index(dilution_factor!$J$2:J387,match(dilution_factor!A180,$C$2:C387,0))))</f>
        <v>4</v>
      </c>
      <c r="M180" s="12">
        <v>20.0</v>
      </c>
      <c r="N180" s="16"/>
      <c r="O180" s="16"/>
      <c r="P180" s="16"/>
      <c r="Q180" s="16"/>
      <c r="R180" s="10" t="s">
        <v>33</v>
      </c>
      <c r="S180" s="10"/>
      <c r="T180" s="10"/>
      <c r="U180" s="10"/>
      <c r="V180" s="14">
        <v>45456.47419259259</v>
      </c>
      <c r="W180" s="4" t="str">
        <f t="shared" si="2"/>
        <v>HP185-179,HP185-20240613,F4 50uM AA2P scaffolds 1-4, D6 Ind #3 #G0.3125,sample,liquid,EXP135,F4 50uM AA2P scaffolds 1-4, D6 Ind #3 #G0.3125,,1,,200,4,20,,,,,DS,,,,06-13-2024</v>
      </c>
      <c r="X180" s="15" t="str">
        <f t="shared" si="3"/>
        <v>HP185-179
F4 50uM AA2P scaffolds 1-4, D6 Ind #3 #G0.3125
12-30-1899</v>
      </c>
      <c r="Y180" s="15"/>
      <c r="Z180" s="15"/>
      <c r="AA180" s="15"/>
      <c r="AB180" s="15"/>
    </row>
    <row r="181" ht="15.75" customHeight="1">
      <c r="A181" s="9" t="str">
        <f>IFERROR(__xludf.DUMMYFUNCTION("if(B181="""","""", REGEXEXTRACT(B181,""(.*)-.*"") &amp; ""-"" &amp; COUNTA($B$2:B181))"),"HP185-180")</f>
        <v>HP185-180</v>
      </c>
      <c r="B181" s="10" t="s">
        <v>28</v>
      </c>
      <c r="C181" s="24" t="s">
        <v>212</v>
      </c>
      <c r="D181" s="10" t="s">
        <v>30</v>
      </c>
      <c r="E181" s="10" t="s">
        <v>31</v>
      </c>
      <c r="F181" s="10" t="s">
        <v>32</v>
      </c>
      <c r="G181" s="12" t="str">
        <f t="shared" si="1"/>
        <v>F4 250uM AA2P scaffolds 1-4, D6 Ind #3 #G0.15625</v>
      </c>
      <c r="H181" s="17"/>
      <c r="I181" s="12">
        <v>1.0</v>
      </c>
      <c r="J181" s="16"/>
      <c r="K181" s="12">
        <v>200.0</v>
      </c>
      <c r="L181" s="12">
        <f t="array" ref="L181">if(D181= "standard", "", if(iserror(index(dilution_factor!$J$2:J387,match(dilution_factor!A181,$C$2:C387,0))),"",index(dilution_factor!$J$2:J387,match(dilution_factor!A181,$C$2:C387,0))))</f>
        <v>4</v>
      </c>
      <c r="M181" s="12">
        <v>20.0</v>
      </c>
      <c r="N181" s="16"/>
      <c r="O181" s="16"/>
      <c r="P181" s="16"/>
      <c r="Q181" s="16"/>
      <c r="R181" s="10" t="s">
        <v>33</v>
      </c>
      <c r="S181" s="10"/>
      <c r="T181" s="10"/>
      <c r="U181" s="10"/>
      <c r="V181" s="14">
        <v>45456.47419259259</v>
      </c>
      <c r="W181" s="4" t="str">
        <f t="shared" si="2"/>
        <v>HP185-180,HP185-20240613,F4 250uM AA2P scaffolds 1-4, D6 Ind #3 #G0.15625,sample,liquid,EXP135,F4 250uM AA2P scaffolds 1-4, D6 Ind #3 #G0.15625,,1,,200,4,20,,,,,DS,,,,06-13-2024</v>
      </c>
      <c r="X181" s="15" t="str">
        <f t="shared" si="3"/>
        <v>HP185-180
F4 250uM AA2P scaffolds 1-4, D6 Ind #3 #G0.15625
12-30-1899</v>
      </c>
      <c r="Y181" s="15"/>
      <c r="Z181" s="15"/>
      <c r="AA181" s="15"/>
      <c r="AB181" s="15"/>
    </row>
    <row r="182" ht="15.75" customHeight="1">
      <c r="A182" s="9" t="str">
        <f>IFERROR(__xludf.DUMMYFUNCTION("if(B182="""","""", REGEXEXTRACT(B182,""(.*)-.*"") &amp; ""-"" &amp; COUNTA($B$2:B182))"),"HP185-181")</f>
        <v>HP185-181</v>
      </c>
      <c r="B182" s="10" t="s">
        <v>28</v>
      </c>
      <c r="C182" s="26" t="s">
        <v>213</v>
      </c>
      <c r="D182" s="10" t="s">
        <v>30</v>
      </c>
      <c r="E182" s="10" t="s">
        <v>31</v>
      </c>
      <c r="F182" s="10" t="s">
        <v>32</v>
      </c>
      <c r="G182" s="12" t="str">
        <f t="shared" si="1"/>
        <v>F4 100uM AA2P scaffolds 1-4, D14 Ind #1</v>
      </c>
      <c r="H182" s="17"/>
      <c r="I182" s="12">
        <v>1.0</v>
      </c>
      <c r="J182" s="16"/>
      <c r="K182" s="12">
        <v>200.0</v>
      </c>
      <c r="L182" s="12">
        <f t="array" ref="L182">if(D182= "standard", "", if(iserror(index(dilution_factor!$J$2:J387,match(dilution_factor!A182,$C$2:C387,0))),"",index(dilution_factor!$J$2:J387,match(dilution_factor!A182,$C$2:C387,0))))</f>
        <v>4</v>
      </c>
      <c r="M182" s="12">
        <v>20.0</v>
      </c>
      <c r="N182" s="16"/>
      <c r="O182" s="16"/>
      <c r="P182" s="16"/>
      <c r="Q182" s="16"/>
      <c r="R182" s="10" t="s">
        <v>33</v>
      </c>
      <c r="S182" s="10"/>
      <c r="T182" s="10"/>
      <c r="U182" s="10"/>
      <c r="V182" s="14">
        <v>45456.47419259259</v>
      </c>
      <c r="W182" s="4" t="str">
        <f t="shared" si="2"/>
        <v>HP185-181,HP185-20240613,F4 100uM AA2P scaffolds 1-4, D14 Ind #1,sample,liquid,EXP135,F4 100uM AA2P scaffolds 1-4, D14 Ind #1,,1,,200,4,20,,,,,DS,,,,06-13-2024</v>
      </c>
      <c r="X182" s="15" t="str">
        <f t="shared" si="3"/>
        <v>HP185-181
F4 100uM AA2P scaffolds 1-4, D14 Ind #1
12-30-1899</v>
      </c>
      <c r="Y182" s="15"/>
      <c r="Z182" s="15"/>
      <c r="AA182" s="15"/>
      <c r="AB182" s="15"/>
    </row>
    <row r="183" ht="15.75" customHeight="1">
      <c r="A183" s="9" t="str">
        <f>IFERROR(__xludf.DUMMYFUNCTION("if(B183="""","""", REGEXEXTRACT(B183,""(.*)-.*"") &amp; ""-"" &amp; COUNTA($B$2:B183))"),"HP185-182")</f>
        <v>HP185-182</v>
      </c>
      <c r="B183" s="10" t="s">
        <v>28</v>
      </c>
      <c r="C183" s="25" t="s">
        <v>214</v>
      </c>
      <c r="D183" s="10" t="s">
        <v>30</v>
      </c>
      <c r="E183" s="10" t="s">
        <v>31</v>
      </c>
      <c r="F183" s="10" t="s">
        <v>32</v>
      </c>
      <c r="G183" s="12" t="str">
        <f t="shared" si="1"/>
        <v>F4 150uM AA2P scaffolds 1-4, D3 Ind #1 #G0.625</v>
      </c>
      <c r="H183" s="17"/>
      <c r="I183" s="12">
        <v>1.0</v>
      </c>
      <c r="J183" s="16"/>
      <c r="K183" s="12">
        <v>200.0</v>
      </c>
      <c r="L183" s="12">
        <f t="array" ref="L183">if(D183= "standard", "", if(iserror(index(dilution_factor!$J$2:J387,match(dilution_factor!A183,$C$2:C387,0))),"",index(dilution_factor!$J$2:J387,match(dilution_factor!A183,$C$2:C387,0))))</f>
        <v>4</v>
      </c>
      <c r="M183" s="12">
        <v>20.0</v>
      </c>
      <c r="N183" s="16"/>
      <c r="O183" s="16"/>
      <c r="P183" s="16"/>
      <c r="Q183" s="16"/>
      <c r="R183" s="10" t="s">
        <v>33</v>
      </c>
      <c r="S183" s="10"/>
      <c r="T183" s="10"/>
      <c r="U183" s="10"/>
      <c r="V183" s="14">
        <v>45456.47419259259</v>
      </c>
      <c r="W183" s="4" t="str">
        <f t="shared" si="2"/>
        <v>HP185-182,HP185-20240613,F4 150uM AA2P scaffolds 1-4, D3 Ind #1 #G0.625,sample,liquid,EXP135,F4 150uM AA2P scaffolds 1-4, D3 Ind #1 #G0.625,,1,,200,4,20,,,,,DS,,,,06-13-2024</v>
      </c>
      <c r="X183" s="15" t="str">
        <f t="shared" si="3"/>
        <v>HP185-182
F4 150uM AA2P scaffolds 1-4, D3 Ind #1 #G0.625
12-30-1899</v>
      </c>
      <c r="Y183" s="15"/>
      <c r="Z183" s="15"/>
      <c r="AA183" s="15"/>
      <c r="AB183" s="15"/>
    </row>
    <row r="184" ht="15.75" customHeight="1">
      <c r="A184" s="9" t="str">
        <f>IFERROR(__xludf.DUMMYFUNCTION("if(B184="""","""", REGEXEXTRACT(B184,""(.*)-.*"") &amp; ""-"" &amp; COUNTA($B$2:B184))"),"HP185-183")</f>
        <v>HP185-183</v>
      </c>
      <c r="B184" s="10" t="s">
        <v>28</v>
      </c>
      <c r="C184" s="23" t="s">
        <v>215</v>
      </c>
      <c r="D184" s="10" t="s">
        <v>30</v>
      </c>
      <c r="E184" s="10" t="s">
        <v>31</v>
      </c>
      <c r="F184" s="10" t="s">
        <v>32</v>
      </c>
      <c r="G184" s="12" t="str">
        <f t="shared" si="1"/>
        <v>F4 100uM AA2P scaffolds 1-4, D6 Ind #1 #G0.3125</v>
      </c>
      <c r="H184" s="17"/>
      <c r="I184" s="12">
        <v>1.0</v>
      </c>
      <c r="J184" s="16"/>
      <c r="K184" s="12">
        <v>200.0</v>
      </c>
      <c r="L184" s="12">
        <f t="array" ref="L184">if(D184= "standard", "", if(iserror(index(dilution_factor!$J$2:J387,match(dilution_factor!A184,$C$2:C387,0))),"",index(dilution_factor!$J$2:J387,match(dilution_factor!A184,$C$2:C387,0))))</f>
        <v>4</v>
      </c>
      <c r="M184" s="12">
        <v>20.0</v>
      </c>
      <c r="N184" s="16"/>
      <c r="O184" s="16"/>
      <c r="P184" s="16"/>
      <c r="Q184" s="16"/>
      <c r="R184" s="10" t="s">
        <v>33</v>
      </c>
      <c r="S184" s="10"/>
      <c r="T184" s="10"/>
      <c r="U184" s="10"/>
      <c r="V184" s="14">
        <v>45456.47419259259</v>
      </c>
      <c r="W184" s="4" t="str">
        <f t="shared" si="2"/>
        <v>HP185-183,HP185-20240613,F4 100uM AA2P scaffolds 1-4, D6 Ind #1 #G0.3125,sample,liquid,EXP135,F4 100uM AA2P scaffolds 1-4, D6 Ind #1 #G0.3125,,1,,200,4,20,,,,,DS,,,,06-13-2024</v>
      </c>
      <c r="X184" s="15" t="str">
        <f t="shared" si="3"/>
        <v>HP185-183
F4 100uM AA2P scaffolds 1-4, D6 Ind #1 #G0.3125
12-30-1899</v>
      </c>
      <c r="Y184" s="15"/>
      <c r="Z184" s="15"/>
      <c r="AA184" s="15"/>
      <c r="AB184" s="15"/>
    </row>
    <row r="185" ht="15.75" customHeight="1">
      <c r="A185" s="9" t="str">
        <f>IFERROR(__xludf.DUMMYFUNCTION("if(B185="""","""", REGEXEXTRACT(B185,""(.*)-.*"") &amp; ""-"" &amp; COUNTA($B$2:B185))"),"HP185-184")</f>
        <v>HP185-184</v>
      </c>
      <c r="B185" s="10" t="s">
        <v>28</v>
      </c>
      <c r="C185" s="24" t="s">
        <v>216</v>
      </c>
      <c r="D185" s="10" t="s">
        <v>30</v>
      </c>
      <c r="E185" s="10" t="s">
        <v>31</v>
      </c>
      <c r="F185" s="10" t="s">
        <v>32</v>
      </c>
      <c r="G185" s="12" t="str">
        <f t="shared" si="1"/>
        <v>F4 50uM AA2P scaffolds 1-4, D8 Ind #1 #G0.15625</v>
      </c>
      <c r="H185" s="17"/>
      <c r="I185" s="12">
        <v>1.0</v>
      </c>
      <c r="J185" s="16"/>
      <c r="K185" s="12">
        <v>200.0</v>
      </c>
      <c r="L185" s="12">
        <f t="array" ref="L185">if(D185= "standard", "", if(iserror(index(dilution_factor!$J$2:J387,match(dilution_factor!A185,$C$2:C387,0))),"",index(dilution_factor!$J$2:J387,match(dilution_factor!A185,$C$2:C387,0))))</f>
        <v>4</v>
      </c>
      <c r="M185" s="12">
        <v>20.0</v>
      </c>
      <c r="N185" s="16"/>
      <c r="O185" s="16"/>
      <c r="P185" s="16"/>
      <c r="Q185" s="16"/>
      <c r="R185" s="10" t="s">
        <v>33</v>
      </c>
      <c r="S185" s="10"/>
      <c r="T185" s="10"/>
      <c r="U185" s="10"/>
      <c r="V185" s="14">
        <v>45456.47419259259</v>
      </c>
      <c r="W185" s="4" t="str">
        <f t="shared" si="2"/>
        <v>HP185-184,HP185-20240613,F4 50uM AA2P scaffolds 1-4, D8 Ind #1 #G0.15625,sample,liquid,EXP135,F4 50uM AA2P scaffolds 1-4, D8 Ind #1 #G0.15625,,1,,200,4,20,,,,,DS,,,,06-13-2024</v>
      </c>
      <c r="X185" s="15" t="str">
        <f t="shared" si="3"/>
        <v>HP185-184
F4 50uM AA2P scaffolds 1-4, D8 Ind #1 #G0.15625
12-30-1899</v>
      </c>
      <c r="Y185" s="15"/>
      <c r="Z185" s="15"/>
      <c r="AA185" s="15"/>
      <c r="AB185" s="15"/>
    </row>
    <row r="186" ht="15.75" customHeight="1">
      <c r="A186" s="9" t="str">
        <f>IFERROR(__xludf.DUMMYFUNCTION("if(B186="""","""", REGEXEXTRACT(B186,""(.*)-.*"") &amp; ""-"" &amp; COUNTA($B$2:B186))"),"HP185-185")</f>
        <v>HP185-185</v>
      </c>
      <c r="B186" s="10" t="s">
        <v>28</v>
      </c>
      <c r="C186" s="26" t="s">
        <v>217</v>
      </c>
      <c r="D186" s="10" t="s">
        <v>30</v>
      </c>
      <c r="E186" s="10" t="s">
        <v>31</v>
      </c>
      <c r="F186" s="10" t="s">
        <v>32</v>
      </c>
      <c r="G186" s="12" t="str">
        <f t="shared" si="1"/>
        <v>F4 100uM AA2P scaffolds 1-4, D14 Ind #2</v>
      </c>
      <c r="H186" s="17"/>
      <c r="I186" s="12">
        <v>1.0</v>
      </c>
      <c r="J186" s="16"/>
      <c r="K186" s="12">
        <v>200.0</v>
      </c>
      <c r="L186" s="12">
        <f t="array" ref="L186">if(D186= "standard", "", if(iserror(index(dilution_factor!$J$2:J387,match(dilution_factor!A186,$C$2:C387,0))),"",index(dilution_factor!$J$2:J387,match(dilution_factor!A186,$C$2:C387,0))))</f>
        <v>4</v>
      </c>
      <c r="M186" s="12">
        <v>20.0</v>
      </c>
      <c r="N186" s="16"/>
      <c r="O186" s="16"/>
      <c r="P186" s="16"/>
      <c r="Q186" s="16"/>
      <c r="R186" s="10" t="s">
        <v>33</v>
      </c>
      <c r="S186" s="10"/>
      <c r="T186" s="10"/>
      <c r="U186" s="10"/>
      <c r="V186" s="14">
        <v>45456.47419259259</v>
      </c>
      <c r="W186" s="4" t="str">
        <f t="shared" si="2"/>
        <v>HP185-185,HP185-20240613,F4 100uM AA2P scaffolds 1-4, D14 Ind #2,sample,liquid,EXP135,F4 100uM AA2P scaffolds 1-4, D14 Ind #2,,1,,200,4,20,,,,,DS,,,,06-13-2024</v>
      </c>
      <c r="X186" s="15" t="str">
        <f t="shared" si="3"/>
        <v>HP185-185
F4 100uM AA2P scaffolds 1-4, D14 Ind #2
12-30-1899</v>
      </c>
      <c r="Y186" s="15"/>
      <c r="Z186" s="15"/>
      <c r="AA186" s="15"/>
      <c r="AB186" s="15"/>
    </row>
    <row r="187" ht="15.75" customHeight="1">
      <c r="A187" s="9" t="str">
        <f>IFERROR(__xludf.DUMMYFUNCTION("if(B187="""","""", REGEXEXTRACT(B187,""(.*)-.*"") &amp; ""-"" &amp; COUNTA($B$2:B187))"),"HP185-186")</f>
        <v>HP185-186</v>
      </c>
      <c r="B187" s="10" t="s">
        <v>28</v>
      </c>
      <c r="C187" s="26" t="s">
        <v>218</v>
      </c>
      <c r="D187" s="10" t="s">
        <v>30</v>
      </c>
      <c r="E187" s="10" t="s">
        <v>31</v>
      </c>
      <c r="F187" s="10" t="s">
        <v>32</v>
      </c>
      <c r="G187" s="12" t="str">
        <f t="shared" si="1"/>
        <v>F4 100uM AA2P scaffolds 1-4, D14 Ind #3</v>
      </c>
      <c r="H187" s="17"/>
      <c r="I187" s="12">
        <v>1.0</v>
      </c>
      <c r="J187" s="16"/>
      <c r="K187" s="12">
        <v>200.0</v>
      </c>
      <c r="L187" s="12">
        <f t="array" ref="L187">if(D187= "standard", "", if(iserror(index(dilution_factor!$J$2:J387,match(dilution_factor!A187,$C$2:C387,0))),"",index(dilution_factor!$J$2:J387,match(dilution_factor!A187,$C$2:C387,0))))</f>
        <v>4</v>
      </c>
      <c r="M187" s="12">
        <v>20.0</v>
      </c>
      <c r="N187" s="16"/>
      <c r="O187" s="16"/>
      <c r="P187" s="16"/>
      <c r="Q187" s="16"/>
      <c r="R187" s="10" t="s">
        <v>33</v>
      </c>
      <c r="S187" s="10"/>
      <c r="T187" s="10"/>
      <c r="U187" s="10"/>
      <c r="V187" s="14">
        <v>45456.47419259259</v>
      </c>
      <c r="W187" s="4" t="str">
        <f t="shared" si="2"/>
        <v>HP185-186,HP185-20240613,F4 100uM AA2P scaffolds 1-4, D14 Ind #3,sample,liquid,EXP135,F4 100uM AA2P scaffolds 1-4, D14 Ind #3,,1,,200,4,20,,,,,DS,,,,06-13-2024</v>
      </c>
      <c r="X187" s="15" t="str">
        <f t="shared" si="3"/>
        <v>HP185-186
F4 100uM AA2P scaffolds 1-4, D14 Ind #3
12-30-1899</v>
      </c>
      <c r="Y187" s="15"/>
      <c r="Z187" s="15"/>
      <c r="AA187" s="15"/>
      <c r="AB187" s="15"/>
    </row>
    <row r="188" ht="15.75" customHeight="1">
      <c r="A188" s="9" t="str">
        <f>IFERROR(__xludf.DUMMYFUNCTION("if(B188="""","""", REGEXEXTRACT(B188,""(.*)-.*"") &amp; ""-"" &amp; COUNTA($B$2:B188))"),"HP185-187")</f>
        <v>HP185-187</v>
      </c>
      <c r="B188" s="10" t="s">
        <v>28</v>
      </c>
      <c r="C188" s="27" t="s">
        <v>219</v>
      </c>
      <c r="D188" s="28" t="s">
        <v>220</v>
      </c>
      <c r="E188" s="27" t="s">
        <v>31</v>
      </c>
      <c r="F188" s="29"/>
      <c r="G188" s="30" t="str">
        <f t="shared" si="1"/>
        <v>Hydroxyproline St1</v>
      </c>
      <c r="H188" s="31"/>
      <c r="I188" s="29"/>
      <c r="J188" s="29"/>
      <c r="K188" s="29"/>
      <c r="L188" s="12" t="str">
        <f t="array" ref="L188">if(D188= "standard", "", if(iserror(index(dilution_factor!$J$2:J387,match(dilution_factor!A188,$C$2:C387,0))),"",index(dilution_factor!$J$2:J387,match(dilution_factor!A188,$C$2:C387,0))))</f>
        <v/>
      </c>
      <c r="M188" s="30"/>
      <c r="N188" s="29"/>
      <c r="O188" s="29"/>
      <c r="P188" s="29"/>
      <c r="Q188" s="29"/>
      <c r="R188" s="28" t="s">
        <v>33</v>
      </c>
      <c r="S188" s="32">
        <v>1.0</v>
      </c>
      <c r="T188" s="30"/>
      <c r="U188" s="30"/>
      <c r="V188" s="14">
        <v>45456.47419259259</v>
      </c>
      <c r="W188" s="4" t="str">
        <f t="shared" si="2"/>
        <v>HP185-187,HP185-20240613,Hydroxyproline St1,standard,liquid,,Hydroxyproline St1,,,,,,,,,,,DS,1,,,06-13-2024</v>
      </c>
      <c r="X188" s="15" t="str">
        <f t="shared" si="3"/>
        <v/>
      </c>
      <c r="Y188" s="15"/>
      <c r="Z188" s="15"/>
      <c r="AA188" s="15"/>
      <c r="AB188" s="15"/>
    </row>
    <row r="189" ht="15.75" customHeight="1">
      <c r="A189" s="9" t="str">
        <f>IFERROR(__xludf.DUMMYFUNCTION("if(B189="""","""", REGEXEXTRACT(B189,""(.*)-.*"") &amp; ""-"" &amp; COUNTA($B$2:B189))"),"HP185-188")</f>
        <v>HP185-188</v>
      </c>
      <c r="B189" s="10" t="s">
        <v>28</v>
      </c>
      <c r="C189" s="27" t="s">
        <v>221</v>
      </c>
      <c r="D189" s="27" t="s">
        <v>220</v>
      </c>
      <c r="E189" s="27" t="s">
        <v>31</v>
      </c>
      <c r="F189" s="29"/>
      <c r="G189" s="30" t="str">
        <f t="shared" si="1"/>
        <v>Hydroxyproline St2</v>
      </c>
      <c r="H189" s="31"/>
      <c r="I189" s="29"/>
      <c r="J189" s="29"/>
      <c r="K189" s="29"/>
      <c r="L189" s="12" t="str">
        <f t="array" ref="L189">if(D189= "standard", "", if(iserror(index(dilution_factor!$J$2:J387,match(dilution_factor!A189,$C$2:C387,0))),"",index(dilution_factor!$J$2:J387,match(dilution_factor!A189,$C$2:C387,0))))</f>
        <v/>
      </c>
      <c r="M189" s="30"/>
      <c r="N189" s="29"/>
      <c r="O189" s="29"/>
      <c r="P189" s="29"/>
      <c r="Q189" s="29"/>
      <c r="R189" s="28" t="s">
        <v>33</v>
      </c>
      <c r="S189" s="33">
        <v>0.8</v>
      </c>
      <c r="T189" s="30"/>
      <c r="U189" s="30"/>
      <c r="V189" s="14">
        <v>45456.47419259259</v>
      </c>
      <c r="W189" s="4" t="str">
        <f t="shared" si="2"/>
        <v>HP185-188,HP185-20240613,Hydroxyproline St2,standard,liquid,,Hydroxyproline St2,,,,,,,,,,,DS,0.8,,,06-13-2024</v>
      </c>
      <c r="X189" s="15" t="str">
        <f t="shared" si="3"/>
        <v/>
      </c>
      <c r="Y189" s="15"/>
      <c r="Z189" s="15"/>
      <c r="AA189" s="15"/>
      <c r="AB189" s="15"/>
    </row>
    <row r="190" ht="15.75" customHeight="1">
      <c r="A190" s="9" t="str">
        <f>IFERROR(__xludf.DUMMYFUNCTION("if(B190="""","""", REGEXEXTRACT(B190,""(.*)-.*"") &amp; ""-"" &amp; COUNTA($B$2:B190))"),"HP185-189")</f>
        <v>HP185-189</v>
      </c>
      <c r="B190" s="10" t="s">
        <v>28</v>
      </c>
      <c r="C190" s="27" t="s">
        <v>222</v>
      </c>
      <c r="D190" s="27" t="s">
        <v>220</v>
      </c>
      <c r="E190" s="27" t="s">
        <v>31</v>
      </c>
      <c r="F190" s="29"/>
      <c r="G190" s="30" t="str">
        <f t="shared" si="1"/>
        <v>Hydroxyproline St3</v>
      </c>
      <c r="H190" s="31"/>
      <c r="I190" s="29"/>
      <c r="J190" s="29"/>
      <c r="K190" s="29"/>
      <c r="L190" s="12" t="str">
        <f t="array" ref="L190">if(D190= "standard", "", if(iserror(index(dilution_factor!$J$2:J387,match(dilution_factor!A190,$C$2:C387,0))),"",index(dilution_factor!$J$2:J387,match(dilution_factor!A190,$C$2:C387,0))))</f>
        <v/>
      </c>
      <c r="M190" s="30"/>
      <c r="N190" s="29"/>
      <c r="O190" s="29"/>
      <c r="P190" s="29"/>
      <c r="Q190" s="29"/>
      <c r="R190" s="28" t="s">
        <v>33</v>
      </c>
      <c r="S190" s="33">
        <v>0.6</v>
      </c>
      <c r="T190" s="30"/>
      <c r="U190" s="30"/>
      <c r="V190" s="14">
        <v>45456.47419259259</v>
      </c>
      <c r="W190" s="4" t="str">
        <f t="shared" si="2"/>
        <v>HP185-189,HP185-20240613,Hydroxyproline St3,standard,liquid,,Hydroxyproline St3,,,,,,,,,,,DS,0.6,,,06-13-2024</v>
      </c>
      <c r="X190" s="15" t="str">
        <f t="shared" si="3"/>
        <v/>
      </c>
      <c r="Y190" s="15"/>
      <c r="Z190" s="15"/>
      <c r="AA190" s="15"/>
      <c r="AB190" s="15"/>
    </row>
    <row r="191" ht="15.75" customHeight="1">
      <c r="A191" s="9" t="str">
        <f>IFERROR(__xludf.DUMMYFUNCTION("if(B191="""","""", REGEXEXTRACT(B191,""(.*)-.*"") &amp; ""-"" &amp; COUNTA($B$2:B191))"),"HP185-190")</f>
        <v>HP185-190</v>
      </c>
      <c r="B191" s="10" t="s">
        <v>28</v>
      </c>
      <c r="C191" s="27" t="s">
        <v>223</v>
      </c>
      <c r="D191" s="27" t="s">
        <v>220</v>
      </c>
      <c r="E191" s="27" t="s">
        <v>31</v>
      </c>
      <c r="F191" s="29"/>
      <c r="G191" s="30" t="str">
        <f t="shared" si="1"/>
        <v>Hydroxyproline St4</v>
      </c>
      <c r="H191" s="31"/>
      <c r="I191" s="29"/>
      <c r="J191" s="29"/>
      <c r="K191" s="29"/>
      <c r="L191" s="12" t="str">
        <f t="array" ref="L191">if(D191= "standard", "", if(iserror(index(dilution_factor!$J$2:J387,match(dilution_factor!A191,$C$2:C387,0))),"",index(dilution_factor!$J$2:J387,match(dilution_factor!A191,$C$2:C387,0))))</f>
        <v/>
      </c>
      <c r="M191" s="30"/>
      <c r="N191" s="29"/>
      <c r="O191" s="29"/>
      <c r="P191" s="29"/>
      <c r="Q191" s="29"/>
      <c r="R191" s="28" t="s">
        <v>33</v>
      </c>
      <c r="S191" s="33">
        <v>0.4</v>
      </c>
      <c r="T191" s="30"/>
      <c r="U191" s="30"/>
      <c r="V191" s="14">
        <v>45456.47419259259</v>
      </c>
      <c r="W191" s="4" t="str">
        <f t="shared" si="2"/>
        <v>HP185-190,HP185-20240613,Hydroxyproline St4,standard,liquid,,Hydroxyproline St4,,,,,,,,,,,DS,0.4,,,06-13-2024</v>
      </c>
      <c r="X191" s="15" t="str">
        <f t="shared" si="3"/>
        <v/>
      </c>
      <c r="Y191" s="15"/>
      <c r="Z191" s="15"/>
      <c r="AA191" s="15"/>
      <c r="AB191" s="15"/>
    </row>
    <row r="192" ht="15.75" customHeight="1">
      <c r="A192" s="9" t="str">
        <f>IFERROR(__xludf.DUMMYFUNCTION("if(B192="""","""", REGEXEXTRACT(B192,""(.*)-.*"") &amp; ""-"" &amp; COUNTA($B$2:B192))"),"HP185-191")</f>
        <v>HP185-191</v>
      </c>
      <c r="B192" s="10" t="s">
        <v>28</v>
      </c>
      <c r="C192" s="27" t="s">
        <v>224</v>
      </c>
      <c r="D192" s="27" t="s">
        <v>220</v>
      </c>
      <c r="E192" s="27" t="s">
        <v>31</v>
      </c>
      <c r="F192" s="29"/>
      <c r="G192" s="30" t="str">
        <f t="shared" si="1"/>
        <v>Hydroxyproline St5</v>
      </c>
      <c r="H192" s="31"/>
      <c r="I192" s="29"/>
      <c r="J192" s="29"/>
      <c r="K192" s="29"/>
      <c r="L192" s="12" t="str">
        <f t="array" ref="L192">if(D192= "standard", "", if(iserror(index(dilution_factor!$J$2:J387,match(dilution_factor!A192,$C$2:C387,0))),"",index(dilution_factor!$J$2:J387,match(dilution_factor!A192,$C$2:C387,0))))</f>
        <v/>
      </c>
      <c r="M192" s="30"/>
      <c r="N192" s="29"/>
      <c r="O192" s="29"/>
      <c r="P192" s="29"/>
      <c r="Q192" s="29"/>
      <c r="R192" s="28" t="s">
        <v>33</v>
      </c>
      <c r="S192" s="33">
        <v>0.2</v>
      </c>
      <c r="T192" s="30"/>
      <c r="U192" s="30"/>
      <c r="V192" s="14">
        <v>45456.47419259259</v>
      </c>
      <c r="W192" s="4" t="str">
        <f t="shared" si="2"/>
        <v>HP185-191,HP185-20240613,Hydroxyproline St5,standard,liquid,,Hydroxyproline St5,,,,,,,,,,,DS,0.2,,,06-13-2024</v>
      </c>
      <c r="X192" s="15" t="str">
        <f t="shared" si="3"/>
        <v/>
      </c>
      <c r="Y192" s="15"/>
      <c r="Z192" s="15"/>
      <c r="AA192" s="15"/>
      <c r="AB192" s="15"/>
    </row>
    <row r="193" ht="15.75" customHeight="1">
      <c r="A193" s="9" t="str">
        <f>IFERROR(__xludf.DUMMYFUNCTION("if(B193="""","""", REGEXEXTRACT(B193,""(.*)-.*"") &amp; ""-"" &amp; COUNTA($B$2:B193))"),"HP185-192")</f>
        <v>HP185-192</v>
      </c>
      <c r="B193" s="10" t="s">
        <v>28</v>
      </c>
      <c r="C193" s="27" t="s">
        <v>225</v>
      </c>
      <c r="D193" s="27" t="s">
        <v>220</v>
      </c>
      <c r="E193" s="27" t="s">
        <v>31</v>
      </c>
      <c r="F193" s="29"/>
      <c r="G193" s="30" t="str">
        <f t="shared" si="1"/>
        <v>Hydroxyproline St6</v>
      </c>
      <c r="H193" s="31"/>
      <c r="I193" s="29"/>
      <c r="J193" s="29"/>
      <c r="K193" s="29"/>
      <c r="L193" s="12" t="str">
        <f t="array" ref="L193">if(D193= "standard", "", if(iserror(index(dilution_factor!$J$2:J387,match(dilution_factor!A193,$C$2:C387,0))),"",index(dilution_factor!$J$2:J387,match(dilution_factor!A193,$C$2:C387,0))))</f>
        <v/>
      </c>
      <c r="M193" s="30"/>
      <c r="N193" s="29"/>
      <c r="O193" s="29"/>
      <c r="P193" s="29"/>
      <c r="Q193" s="29"/>
      <c r="R193" s="28" t="s">
        <v>33</v>
      </c>
      <c r="S193" s="33">
        <v>0.0</v>
      </c>
      <c r="T193" s="30"/>
      <c r="U193" s="30"/>
      <c r="V193" s="14">
        <v>45456.47419259259</v>
      </c>
      <c r="W193" s="4" t="str">
        <f t="shared" si="2"/>
        <v>HP185-192,HP185-20240613,Hydroxyproline St6,standard,liquid,,Hydroxyproline St6,,,,,,,,,,,DS,0,,,06-13-2024</v>
      </c>
      <c r="X193" s="15" t="str">
        <f t="shared" si="3"/>
        <v/>
      </c>
      <c r="Y193" s="15"/>
      <c r="Z193" s="15"/>
      <c r="AA193" s="15"/>
      <c r="AB193" s="15"/>
    </row>
    <row r="194" ht="15.75" customHeight="1">
      <c r="A194" s="9" t="str">
        <f>IFERROR(__xludf.DUMMYFUNCTION("if(B194="""","""", REGEXEXTRACT(B194,""(.*)-.*"") &amp; ""-"" &amp; COUNTA($B$2:B194))"),"HP185-193")</f>
        <v>HP185-193</v>
      </c>
      <c r="B194" s="10" t="s">
        <v>28</v>
      </c>
      <c r="C194" s="27" t="s">
        <v>226</v>
      </c>
      <c r="D194" s="27" t="s">
        <v>227</v>
      </c>
      <c r="E194" s="27" t="s">
        <v>31</v>
      </c>
      <c r="F194" s="29"/>
      <c r="G194" s="30" t="str">
        <f t="shared" si="1"/>
        <v>Gelatin 2.5</v>
      </c>
      <c r="H194" s="31"/>
      <c r="I194" s="29"/>
      <c r="J194" s="29"/>
      <c r="K194" s="29"/>
      <c r="L194" s="12">
        <f t="array" ref="L194">if(D194= "standard", "", if(iserror(index(dilution_factor!$J$2:J387,match(dilution_factor!A194,$C$2:C387,0))),"",index(dilution_factor!$J$2:J387,match(dilution_factor!A194,$C$2:C387,0))))</f>
        <v>4</v>
      </c>
      <c r="M194" s="30"/>
      <c r="N194" s="29"/>
      <c r="O194" s="29"/>
      <c r="P194" s="29"/>
      <c r="Q194" s="29"/>
      <c r="R194" s="27" t="s">
        <v>33</v>
      </c>
      <c r="S194" s="33">
        <v>1.3125</v>
      </c>
      <c r="T194" s="29"/>
      <c r="U194" s="29"/>
      <c r="V194" s="14">
        <v>45456.47419259259</v>
      </c>
      <c r="W194" s="4" t="str">
        <f t="shared" si="2"/>
        <v>HP185-193,HP185-20240613,Gelatin 2.5,control,liquid,,Gelatin 2.5,,,,,4,,,,,,DS,1.3125,,,06-13-2024</v>
      </c>
      <c r="X194" s="15" t="str">
        <f t="shared" si="3"/>
        <v/>
      </c>
      <c r="Y194" s="15"/>
      <c r="Z194" s="15"/>
      <c r="AA194" s="15"/>
      <c r="AB194" s="15"/>
    </row>
    <row r="195" ht="15.75" customHeight="1">
      <c r="A195" s="9" t="str">
        <f>IFERROR(__xludf.DUMMYFUNCTION("if(B195="""","""", REGEXEXTRACT(B195,""(.*)-.*"") &amp; ""-"" &amp; COUNTA($B$2:B195))"),"HP185-194")</f>
        <v>HP185-194</v>
      </c>
      <c r="B195" s="10" t="s">
        <v>28</v>
      </c>
      <c r="C195" s="27" t="s">
        <v>228</v>
      </c>
      <c r="D195" s="27" t="s">
        <v>227</v>
      </c>
      <c r="E195" s="27" t="s">
        <v>31</v>
      </c>
      <c r="F195" s="29"/>
      <c r="G195" s="30" t="str">
        <f t="shared" si="1"/>
        <v>Gelatin 1.25</v>
      </c>
      <c r="H195" s="31"/>
      <c r="I195" s="29"/>
      <c r="J195" s="29"/>
      <c r="K195" s="29"/>
      <c r="L195" s="12">
        <f t="array" ref="L195">if(D195= "standard", "", if(iserror(index(dilution_factor!$J$2:J387,match(dilution_factor!A195,$C$2:C387,0))),"",index(dilution_factor!$J$2:J387,match(dilution_factor!A195,$C$2:C387,0))))</f>
        <v>4</v>
      </c>
      <c r="M195" s="30"/>
      <c r="N195" s="29"/>
      <c r="O195" s="29"/>
      <c r="P195" s="29"/>
      <c r="Q195" s="29"/>
      <c r="R195" s="27" t="s">
        <v>33</v>
      </c>
      <c r="S195" s="33">
        <v>0.65625</v>
      </c>
      <c r="T195" s="29"/>
      <c r="U195" s="29"/>
      <c r="V195" s="14">
        <v>45456.47419259259</v>
      </c>
      <c r="W195" s="4" t="str">
        <f t="shared" si="2"/>
        <v>HP185-194,HP185-20240613,Gelatin 1.25,control,liquid,,Gelatin 1.25,,,,,4,,,,,,DS,0.65625,,,06-13-2024</v>
      </c>
      <c r="X195" s="15" t="str">
        <f t="shared" si="3"/>
        <v/>
      </c>
      <c r="Y195" s="15"/>
      <c r="Z195" s="15"/>
      <c r="AA195" s="15"/>
      <c r="AB195" s="15"/>
    </row>
    <row r="196" ht="15.75" customHeight="1">
      <c r="A196" s="9" t="str">
        <f>IFERROR(__xludf.DUMMYFUNCTION("if(B196="""","""", REGEXEXTRACT(B196,""(.*)-.*"") &amp; ""-"" &amp; COUNTA($B$2:B196))"),"HP185-195")</f>
        <v>HP185-195</v>
      </c>
      <c r="B196" s="10" t="s">
        <v>28</v>
      </c>
      <c r="C196" s="27" t="s">
        <v>229</v>
      </c>
      <c r="D196" s="27" t="s">
        <v>227</v>
      </c>
      <c r="E196" s="27" t="s">
        <v>31</v>
      </c>
      <c r="F196" s="29"/>
      <c r="G196" s="30" t="str">
        <f t="shared" si="1"/>
        <v>Gelatin 0.625</v>
      </c>
      <c r="H196" s="31"/>
      <c r="I196" s="29"/>
      <c r="J196" s="29"/>
      <c r="K196" s="29"/>
      <c r="L196" s="12">
        <f t="array" ref="L196">if(D196= "standard", "", if(iserror(index(dilution_factor!$J$2:J387,match(dilution_factor!A196,$C$2:C387,0))),"",index(dilution_factor!$J$2:J387,match(dilution_factor!A196,$C$2:C387,0))))</f>
        <v>4</v>
      </c>
      <c r="M196" s="30"/>
      <c r="N196" s="29"/>
      <c r="O196" s="29"/>
      <c r="P196" s="29"/>
      <c r="Q196" s="29"/>
      <c r="R196" s="27" t="s">
        <v>33</v>
      </c>
      <c r="S196" s="33">
        <v>0.328125</v>
      </c>
      <c r="T196" s="29"/>
      <c r="U196" s="29"/>
      <c r="V196" s="14">
        <v>45456.47419259259</v>
      </c>
      <c r="W196" s="4" t="str">
        <f t="shared" si="2"/>
        <v>HP185-195,HP185-20240613,Gelatin 0.625,control,liquid,,Gelatin 0.625,,,,,4,,,,,,DS,0.328125,,,06-13-2024</v>
      </c>
      <c r="X196" s="15" t="str">
        <f t="shared" si="3"/>
        <v/>
      </c>
      <c r="Y196" s="15"/>
      <c r="Z196" s="15"/>
      <c r="AA196" s="15"/>
      <c r="AB196" s="15"/>
    </row>
    <row r="197" ht="15.75" customHeight="1">
      <c r="A197" s="9" t="str">
        <f>IFERROR(__xludf.DUMMYFUNCTION("if(B197="""","""", REGEXEXTRACT(B197,""(.*)-.*"") &amp; ""-"" &amp; COUNTA($B$2:B197))"),"HP185-196")</f>
        <v>HP185-196</v>
      </c>
      <c r="B197" s="10" t="s">
        <v>28</v>
      </c>
      <c r="C197" s="27" t="s">
        <v>230</v>
      </c>
      <c r="D197" s="27" t="s">
        <v>227</v>
      </c>
      <c r="E197" s="27" t="s">
        <v>31</v>
      </c>
      <c r="F197" s="29"/>
      <c r="G197" s="30" t="str">
        <f t="shared" si="1"/>
        <v>Gelatin 0.3125</v>
      </c>
      <c r="H197" s="31"/>
      <c r="I197" s="29"/>
      <c r="J197" s="29"/>
      <c r="K197" s="29"/>
      <c r="L197" s="12">
        <f t="array" ref="L197">if(D197= "standard", "", if(iserror(index(dilution_factor!$J$2:J387,match(dilution_factor!A197,$C$2:C387,0))),"",index(dilution_factor!$J$2:J387,match(dilution_factor!A197,$C$2:C387,0))))</f>
        <v>4</v>
      </c>
      <c r="M197" s="30"/>
      <c r="N197" s="29"/>
      <c r="O197" s="29"/>
      <c r="P197" s="29"/>
      <c r="Q197" s="29"/>
      <c r="R197" s="27" t="s">
        <v>33</v>
      </c>
      <c r="S197" s="33">
        <v>0.1640625</v>
      </c>
      <c r="T197" s="29"/>
      <c r="U197" s="29"/>
      <c r="V197" s="14">
        <v>45456.47419259259</v>
      </c>
      <c r="W197" s="4" t="str">
        <f t="shared" si="2"/>
        <v>HP185-196,HP185-20240613,Gelatin 0.3125,control,liquid,,Gelatin 0.3125,,,,,4,,,,,,DS,0.1640625,,,06-13-2024</v>
      </c>
      <c r="X197" s="15" t="str">
        <f t="shared" si="3"/>
        <v/>
      </c>
      <c r="Y197" s="15"/>
      <c r="Z197" s="15"/>
      <c r="AA197" s="15"/>
      <c r="AB197" s="15"/>
    </row>
    <row r="198" ht="15.75" customHeight="1">
      <c r="A198" s="9" t="str">
        <f>IFERROR(__xludf.DUMMYFUNCTION("if(B198="""","""", REGEXEXTRACT(B198,""(.*)-.*"") &amp; ""-"" &amp; COUNTA($B$2:B198))"),"HP185-197")</f>
        <v>HP185-197</v>
      </c>
      <c r="B198" s="10" t="s">
        <v>28</v>
      </c>
      <c r="C198" s="27" t="s">
        <v>231</v>
      </c>
      <c r="D198" s="27" t="s">
        <v>227</v>
      </c>
      <c r="E198" s="27" t="s">
        <v>31</v>
      </c>
      <c r="F198" s="29"/>
      <c r="G198" s="30" t="str">
        <f t="shared" si="1"/>
        <v>Gelatin 0.15625</v>
      </c>
      <c r="H198" s="31"/>
      <c r="I198" s="29"/>
      <c r="J198" s="29"/>
      <c r="K198" s="29"/>
      <c r="L198" s="12">
        <f t="array" ref="L198">if(D198= "standard", "", if(iserror(index(dilution_factor!$J$2:J387,match(dilution_factor!A198,$C$2:C387,0))),"",index(dilution_factor!$J$2:J387,match(dilution_factor!A198,$C$2:C387,0))))</f>
        <v>4</v>
      </c>
      <c r="M198" s="30"/>
      <c r="N198" s="29"/>
      <c r="O198" s="29"/>
      <c r="P198" s="29"/>
      <c r="Q198" s="29"/>
      <c r="R198" s="27" t="s">
        <v>33</v>
      </c>
      <c r="S198" s="34">
        <v>0.08203125</v>
      </c>
      <c r="T198" s="29"/>
      <c r="U198" s="29"/>
      <c r="V198" s="14">
        <v>45456.47419259259</v>
      </c>
      <c r="W198" s="4" t="str">
        <f t="shared" si="2"/>
        <v>HP185-197,HP185-20240613,Gelatin 0.15625,control,liquid,,Gelatin 0.15625,,,,,4,,,,,,DS,0.08203125,,,06-13-2024</v>
      </c>
      <c r="X198" s="15" t="str">
        <f t="shared" si="3"/>
        <v/>
      </c>
      <c r="Y198" s="15"/>
      <c r="Z198" s="15"/>
      <c r="AA198" s="15"/>
      <c r="AB198" s="15"/>
    </row>
    <row r="199" ht="15.75" customHeight="1">
      <c r="A199" s="9" t="str">
        <f>IFERROR(__xludf.DUMMYFUNCTION("if(B199="""","""", REGEXEXTRACT(B199,""(.*)-.*"") &amp; ""-"" &amp; COUNTA($B$2:B199))"),"HP185-198")</f>
        <v>HP185-198</v>
      </c>
      <c r="B199" s="10" t="s">
        <v>28</v>
      </c>
      <c r="C199" s="27" t="s">
        <v>232</v>
      </c>
      <c r="D199" s="27" t="s">
        <v>227</v>
      </c>
      <c r="E199" s="27" t="s">
        <v>31</v>
      </c>
      <c r="F199" s="29"/>
      <c r="G199" s="30" t="str">
        <f t="shared" si="1"/>
        <v>Gelatin 0</v>
      </c>
      <c r="H199" s="31"/>
      <c r="I199" s="29"/>
      <c r="J199" s="29"/>
      <c r="K199" s="29"/>
      <c r="L199" s="12">
        <f t="array" ref="L199">if(D199= "standard", "", if(iserror(index(dilution_factor!$J$2:J387,match(dilution_factor!A199,$C$2:C387,0))),"",index(dilution_factor!$J$2:J387,match(dilution_factor!A199,$C$2:C387,0))))</f>
        <v>4</v>
      </c>
      <c r="M199" s="30"/>
      <c r="N199" s="29"/>
      <c r="O199" s="29"/>
      <c r="P199" s="29"/>
      <c r="Q199" s="29"/>
      <c r="R199" s="27" t="s">
        <v>33</v>
      </c>
      <c r="S199" s="34">
        <v>0.0</v>
      </c>
      <c r="T199" s="29"/>
      <c r="U199" s="29"/>
      <c r="V199" s="14">
        <v>45456.47419259259</v>
      </c>
      <c r="W199" s="4" t="str">
        <f t="shared" si="2"/>
        <v>HP185-198,HP185-20240613,Gelatin 0,control,liquid,,Gelatin 0,,,,,4,,,,,,DS,0,,,06-13-2024</v>
      </c>
      <c r="X199" s="15" t="str">
        <f t="shared" si="3"/>
        <v/>
      </c>
      <c r="Y199" s="15"/>
      <c r="Z199" s="15"/>
      <c r="AA199" s="15"/>
      <c r="AB199" s="15"/>
    </row>
    <row r="200" ht="15.75" customHeight="1">
      <c r="A200" s="9" t="str">
        <f>IFERROR(__xludf.DUMMYFUNCTION("if(B200="""","""", REGEXEXTRACT(B200,""(.*)-.*"") &amp; ""-"" &amp; COUNTA($B$2:B200))"),"")</f>
        <v/>
      </c>
      <c r="B200" s="16"/>
      <c r="C200" s="16"/>
      <c r="D200" s="2"/>
      <c r="E200" s="2"/>
      <c r="F200" s="16"/>
      <c r="G200" s="12" t="str">
        <f t="shared" si="1"/>
        <v/>
      </c>
      <c r="H200" s="17"/>
      <c r="I200" s="16"/>
      <c r="J200" s="16"/>
      <c r="K200" s="16"/>
      <c r="L200" s="12" t="str">
        <f t="array" ref="L200">if(D200= "standard", "", if(iserror(index(dilution_factor!$J$2:J387,match(dilution_factor!A205,$C$2:C387,0))),"",index(dilution_factor!$J$2:J387,match(dilution_factor!A205,$C$2:C387,0))))</f>
        <v/>
      </c>
      <c r="M200" s="16"/>
      <c r="N200" s="16"/>
      <c r="O200" s="16"/>
      <c r="P200" s="16"/>
      <c r="Q200" s="16"/>
      <c r="R200" s="16"/>
      <c r="S200" s="16"/>
      <c r="T200" s="2"/>
      <c r="U200" s="2"/>
      <c r="V200" s="17"/>
      <c r="W200" s="4" t="str">
        <f t="shared" si="2"/>
        <v>,,,,,,,,,,,,,,,,,,,,,12-30-1899</v>
      </c>
      <c r="X200" s="15" t="str">
        <f t="shared" si="3"/>
        <v/>
      </c>
      <c r="Y200" s="15"/>
      <c r="Z200" s="15"/>
      <c r="AA200" s="15"/>
      <c r="AB200" s="15"/>
    </row>
    <row r="201" ht="15.75" customHeight="1">
      <c r="A201" s="9" t="str">
        <f>IFERROR(__xludf.DUMMYFUNCTION("if(B201="""","""", REGEXEXTRACT(B201,""(.*)-.*"") &amp; ""-"" &amp; COUNTA($B$2:B201))"),"")</f>
        <v/>
      </c>
      <c r="B201" s="16"/>
      <c r="C201" s="16"/>
      <c r="D201" s="2"/>
      <c r="E201" s="2"/>
      <c r="F201" s="16"/>
      <c r="G201" s="12" t="str">
        <f t="shared" si="1"/>
        <v/>
      </c>
      <c r="H201" s="17"/>
      <c r="I201" s="16"/>
      <c r="J201" s="16"/>
      <c r="K201" s="16"/>
      <c r="L201" s="12" t="str">
        <f t="array" ref="L201">if(D201= "standard", "", if(iserror(index(dilution_factor!$J$2:J387,match(dilution_factor!A206,$C$2:C387,0))),"",index(dilution_factor!$J$2:J387,match(dilution_factor!A206,$C$2:C387,0))))</f>
        <v/>
      </c>
      <c r="M201" s="16"/>
      <c r="N201" s="16"/>
      <c r="O201" s="16"/>
      <c r="P201" s="16"/>
      <c r="Q201" s="16"/>
      <c r="R201" s="16"/>
      <c r="S201" s="16"/>
      <c r="T201" s="2"/>
      <c r="U201" s="2"/>
      <c r="V201" s="17"/>
      <c r="W201" s="4" t="str">
        <f t="shared" si="2"/>
        <v>,,,,,,,,,,,,,,,,,,,,,12-30-1899</v>
      </c>
      <c r="X201" s="15" t="str">
        <f t="shared" si="3"/>
        <v/>
      </c>
      <c r="Y201" s="15"/>
      <c r="Z201" s="15"/>
      <c r="AA201" s="15"/>
      <c r="AB201" s="15"/>
    </row>
    <row r="202" ht="15.75" customHeight="1">
      <c r="A202" s="9" t="str">
        <f>IFERROR(__xludf.DUMMYFUNCTION("if(B202="""","""", REGEXEXTRACT(B202,""(.*)-.*"") &amp; ""-"" &amp; COUNTA($B$2:B202))"),"")</f>
        <v/>
      </c>
      <c r="B202" s="16"/>
      <c r="C202" s="16"/>
      <c r="D202" s="2"/>
      <c r="E202" s="2"/>
      <c r="F202" s="16"/>
      <c r="G202" s="12" t="str">
        <f t="shared" si="1"/>
        <v/>
      </c>
      <c r="H202" s="17"/>
      <c r="I202" s="16"/>
      <c r="J202" s="16"/>
      <c r="K202" s="16"/>
      <c r="L202" s="12" t="str">
        <f t="array" ref="L202">if(D202= "standard", "", if(iserror(index(dilution_factor!$J$2:J387,match(dilution_factor!A207,$C$2:C387,0))),"",index(dilution_factor!$J$2:J387,match(dilution_factor!A207,$C$2:C387,0))))</f>
        <v/>
      </c>
      <c r="M202" s="16"/>
      <c r="N202" s="16"/>
      <c r="O202" s="16"/>
      <c r="P202" s="16"/>
      <c r="Q202" s="16"/>
      <c r="R202" s="16"/>
      <c r="S202" s="16"/>
      <c r="T202" s="2"/>
      <c r="U202" s="2"/>
      <c r="V202" s="17"/>
      <c r="W202" s="4" t="str">
        <f t="shared" si="2"/>
        <v>,,,,,,,,,,,,,,,,,,,,,12-30-1899</v>
      </c>
      <c r="X202" s="15" t="str">
        <f t="shared" si="3"/>
        <v/>
      </c>
      <c r="Y202" s="15"/>
      <c r="Z202" s="15"/>
      <c r="AA202" s="15"/>
      <c r="AB202" s="15"/>
    </row>
    <row r="203" ht="15.75" customHeight="1">
      <c r="A203" s="9" t="str">
        <f>IFERROR(__xludf.DUMMYFUNCTION("if(B203="""","""", REGEXEXTRACT(B203,""(.*)-.*"") &amp; ""-"" &amp; COUNTA($B$2:B203))"),"")</f>
        <v/>
      </c>
      <c r="B203" s="16"/>
      <c r="C203" s="16"/>
      <c r="D203" s="2"/>
      <c r="E203" s="2"/>
      <c r="F203" s="16"/>
      <c r="G203" s="12" t="str">
        <f t="shared" si="1"/>
        <v/>
      </c>
      <c r="H203" s="17"/>
      <c r="I203" s="16"/>
      <c r="J203" s="16"/>
      <c r="K203" s="16"/>
      <c r="L203" s="12" t="str">
        <f t="array" ref="L203">if(D203= "standard", "", if(iserror(index(dilution_factor!$J$2:J387,match(dilution_factor!A208,$C$2:C387,0))),"",index(dilution_factor!$J$2:J387,match(dilution_factor!A208,$C$2:C387,0))))</f>
        <v/>
      </c>
      <c r="M203" s="16"/>
      <c r="N203" s="16"/>
      <c r="O203" s="16"/>
      <c r="P203" s="16"/>
      <c r="Q203" s="16"/>
      <c r="R203" s="16"/>
      <c r="S203" s="16"/>
      <c r="T203" s="2"/>
      <c r="U203" s="2"/>
      <c r="V203" s="17"/>
      <c r="W203" s="4" t="str">
        <f t="shared" si="2"/>
        <v>,,,,,,,,,,,,,,,,,,,,,12-30-1899</v>
      </c>
      <c r="X203" s="15" t="str">
        <f t="shared" si="3"/>
        <v/>
      </c>
      <c r="Y203" s="15"/>
      <c r="Z203" s="15"/>
      <c r="AA203" s="15"/>
      <c r="AB203" s="15"/>
    </row>
    <row r="204" ht="15.75" customHeight="1">
      <c r="A204" s="9" t="str">
        <f>IFERROR(__xludf.DUMMYFUNCTION("if(B204="""","""", REGEXEXTRACT(B204,""(.*)-.*"") &amp; ""-"" &amp; COUNTA($B$2:B204))"),"")</f>
        <v/>
      </c>
      <c r="B204" s="16"/>
      <c r="C204" s="16"/>
      <c r="D204" s="2"/>
      <c r="E204" s="2"/>
      <c r="F204" s="16"/>
      <c r="G204" s="12" t="str">
        <f t="shared" si="1"/>
        <v/>
      </c>
      <c r="H204" s="17"/>
      <c r="I204" s="16"/>
      <c r="J204" s="16"/>
      <c r="K204" s="16"/>
      <c r="L204" s="12" t="str">
        <f t="array" ref="L204">if(D204= "standard", "", if(iserror(index(dilution_factor!$J$2:J387,match(dilution_factor!A209,$C$2:C387,0))),"",index(dilution_factor!$J$2:J387,match(dilution_factor!A209,$C$2:C387,0))))</f>
        <v/>
      </c>
      <c r="M204" s="16"/>
      <c r="N204" s="16"/>
      <c r="O204" s="16"/>
      <c r="P204" s="16"/>
      <c r="Q204" s="16"/>
      <c r="R204" s="16"/>
      <c r="S204" s="16"/>
      <c r="T204" s="2"/>
      <c r="U204" s="2"/>
      <c r="V204" s="17"/>
      <c r="W204" s="4" t="str">
        <f t="shared" si="2"/>
        <v>,,,,,,,,,,,,,,,,,,,,,12-30-1899</v>
      </c>
      <c r="X204" s="15" t="str">
        <f t="shared" si="3"/>
        <v/>
      </c>
      <c r="Y204" s="15"/>
      <c r="Z204" s="15"/>
      <c r="AA204" s="15"/>
      <c r="AB204" s="15"/>
    </row>
    <row r="205" ht="15.75" customHeight="1">
      <c r="A205" s="9" t="str">
        <f>IFERROR(__xludf.DUMMYFUNCTION("if(B205="""","""", REGEXEXTRACT(B205,""(.*)-.*"") &amp; ""-"" &amp; COUNTA($B$2:B205))"),"")</f>
        <v/>
      </c>
      <c r="B205" s="16"/>
      <c r="C205" s="16"/>
      <c r="D205" s="2"/>
      <c r="E205" s="2"/>
      <c r="F205" s="16"/>
      <c r="G205" s="12" t="str">
        <f t="shared" si="1"/>
        <v/>
      </c>
      <c r="H205" s="17"/>
      <c r="I205" s="16"/>
      <c r="J205" s="16"/>
      <c r="K205" s="16"/>
      <c r="L205" s="12" t="str">
        <f t="array" ref="L205">if(D205= "standard", "", if(iserror(index(dilution_factor!$J$2:J387,match(dilution_factor!A210,$C$2:C387,0))),"",index(dilution_factor!$J$2:J387,match(dilution_factor!A210,$C$2:C387,0))))</f>
        <v/>
      </c>
      <c r="M205" s="16"/>
      <c r="N205" s="16"/>
      <c r="O205" s="16"/>
      <c r="P205" s="16"/>
      <c r="Q205" s="16"/>
      <c r="R205" s="16"/>
      <c r="S205" s="16"/>
      <c r="T205" s="2"/>
      <c r="U205" s="2"/>
      <c r="V205" s="17"/>
      <c r="W205" s="4" t="str">
        <f t="shared" si="2"/>
        <v>,,,,,,,,,,,,,,,,,,,,,12-30-1899</v>
      </c>
      <c r="X205" s="15" t="str">
        <f t="shared" si="3"/>
        <v/>
      </c>
      <c r="Y205" s="15"/>
      <c r="Z205" s="15"/>
      <c r="AA205" s="15"/>
      <c r="AB205" s="15"/>
    </row>
    <row r="206" ht="15.75" customHeight="1">
      <c r="A206" s="9" t="str">
        <f>IFERROR(__xludf.DUMMYFUNCTION("if(B206="""","""", REGEXEXTRACT(B206,""(.*)-.*"") &amp; ""-"" &amp; COUNTA($B$2:B206))"),"")</f>
        <v/>
      </c>
      <c r="B206" s="16"/>
      <c r="C206" s="16"/>
      <c r="D206" s="2"/>
      <c r="E206" s="2"/>
      <c r="F206" s="16"/>
      <c r="G206" s="12" t="str">
        <f t="shared" si="1"/>
        <v/>
      </c>
      <c r="H206" s="17"/>
      <c r="I206" s="16"/>
      <c r="J206" s="16"/>
      <c r="K206" s="16"/>
      <c r="L206" s="12" t="str">
        <f t="array" ref="L206">if(D206= "standard", "", if(iserror(index(dilution_factor!$J$2:J387,match(dilution_factor!A211,$C$2:C387,0))),"",index(dilution_factor!$J$2:J387,match(dilution_factor!A211,$C$2:C387,0))))</f>
        <v/>
      </c>
      <c r="M206" s="16"/>
      <c r="N206" s="16"/>
      <c r="O206" s="16"/>
      <c r="P206" s="16"/>
      <c r="Q206" s="16"/>
      <c r="R206" s="16"/>
      <c r="S206" s="16"/>
      <c r="T206" s="2"/>
      <c r="U206" s="2"/>
      <c r="V206" s="17"/>
      <c r="W206" s="4" t="str">
        <f t="shared" si="2"/>
        <v>,,,,,,,,,,,,,,,,,,,,,12-30-1899</v>
      </c>
      <c r="X206" s="15" t="str">
        <f t="shared" si="3"/>
        <v/>
      </c>
      <c r="Y206" s="15"/>
      <c r="Z206" s="15"/>
      <c r="AA206" s="15"/>
      <c r="AB206" s="15"/>
    </row>
    <row r="207" ht="15.75" customHeight="1">
      <c r="A207" s="9" t="str">
        <f>IFERROR(__xludf.DUMMYFUNCTION("if(B207="""","""", REGEXEXTRACT(B207,""(.*)-.*"") &amp; ""-"" &amp; COUNTA($B$2:B207))"),"")</f>
        <v/>
      </c>
      <c r="B207" s="16"/>
      <c r="C207" s="16"/>
      <c r="D207" s="2"/>
      <c r="E207" s="2"/>
      <c r="F207" s="16"/>
      <c r="G207" s="12" t="str">
        <f t="shared" si="1"/>
        <v/>
      </c>
      <c r="H207" s="17"/>
      <c r="I207" s="16"/>
      <c r="J207" s="16"/>
      <c r="K207" s="16"/>
      <c r="L207" s="12" t="str">
        <f t="array" ref="L207">if(D207= "standard", "", if(iserror(index(dilution_factor!$J$2:J387,match(dilution_factor!A212,$C$2:C387,0))),"",index(dilution_factor!$J$2:J387,match(dilution_factor!A212,$C$2:C387,0))))</f>
        <v/>
      </c>
      <c r="M207" s="16"/>
      <c r="N207" s="16"/>
      <c r="O207" s="16"/>
      <c r="P207" s="16"/>
      <c r="Q207" s="16"/>
      <c r="R207" s="16"/>
      <c r="S207" s="16"/>
      <c r="T207" s="2"/>
      <c r="U207" s="2"/>
      <c r="V207" s="17"/>
      <c r="W207" s="4" t="str">
        <f t="shared" si="2"/>
        <v>,,,,,,,,,,,,,,,,,,,,,12-30-1899</v>
      </c>
      <c r="X207" s="15" t="str">
        <f t="shared" si="3"/>
        <v/>
      </c>
      <c r="Y207" s="15"/>
      <c r="Z207" s="15"/>
      <c r="AA207" s="15"/>
      <c r="AB207" s="15"/>
    </row>
    <row r="208" ht="15.75" customHeight="1">
      <c r="A208" s="9" t="str">
        <f>IFERROR(__xludf.DUMMYFUNCTION("if(B208="""","""", REGEXEXTRACT(B208,""(.*)-.*"") &amp; ""-"" &amp; COUNTA($B$2:B208))"),"")</f>
        <v/>
      </c>
      <c r="B208" s="16"/>
      <c r="C208" s="16"/>
      <c r="D208" s="2"/>
      <c r="E208" s="2"/>
      <c r="F208" s="16"/>
      <c r="G208" s="12" t="str">
        <f t="shared" si="1"/>
        <v/>
      </c>
      <c r="H208" s="17"/>
      <c r="I208" s="16"/>
      <c r="J208" s="16"/>
      <c r="K208" s="16"/>
      <c r="L208" s="12" t="str">
        <f t="array" ref="L208">if(D208= "standard", "", if(iserror(index(dilution_factor!$J$2:J387,match(dilution_factor!A213,$C$2:C387,0))),"",index(dilution_factor!$J$2:J387,match(dilution_factor!A213,$C$2:C387,0))))</f>
        <v/>
      </c>
      <c r="M208" s="16"/>
      <c r="N208" s="16"/>
      <c r="O208" s="16"/>
      <c r="P208" s="16"/>
      <c r="Q208" s="16"/>
      <c r="R208" s="16"/>
      <c r="S208" s="16"/>
      <c r="T208" s="2"/>
      <c r="U208" s="2"/>
      <c r="V208" s="17"/>
      <c r="W208" s="4" t="str">
        <f t="shared" si="2"/>
        <v>,,,,,,,,,,,,,,,,,,,,,12-30-1899</v>
      </c>
      <c r="X208" s="15" t="str">
        <f t="shared" si="3"/>
        <v/>
      </c>
      <c r="Y208" s="15"/>
      <c r="Z208" s="15"/>
      <c r="AA208" s="15"/>
      <c r="AB208" s="15"/>
    </row>
    <row r="209" ht="15.75" customHeight="1">
      <c r="A209" s="9" t="str">
        <f>IFERROR(__xludf.DUMMYFUNCTION("if(B209="""","""", REGEXEXTRACT(B209,""(.*)-.*"") &amp; ""-"" &amp; COUNTA($B$2:B209))"),"")</f>
        <v/>
      </c>
      <c r="B209" s="16"/>
      <c r="C209" s="16"/>
      <c r="D209" s="2"/>
      <c r="E209" s="2"/>
      <c r="F209" s="16"/>
      <c r="G209" s="12" t="str">
        <f t="shared" si="1"/>
        <v/>
      </c>
      <c r="H209" s="17"/>
      <c r="I209" s="16"/>
      <c r="J209" s="16"/>
      <c r="K209" s="16"/>
      <c r="L209" s="12" t="str">
        <f t="array" ref="L209">if(D209= "standard", "", if(iserror(index(dilution_factor!$J$2:J387,match(dilution_factor!A214,$C$2:C387,0))),"",index(dilution_factor!$J$2:J387,match(dilution_factor!A214,$C$2:C387,0))))</f>
        <v/>
      </c>
      <c r="M209" s="16"/>
      <c r="N209" s="16"/>
      <c r="O209" s="16"/>
      <c r="P209" s="16"/>
      <c r="Q209" s="16"/>
      <c r="R209" s="16"/>
      <c r="S209" s="16"/>
      <c r="T209" s="2"/>
      <c r="U209" s="2"/>
      <c r="V209" s="17"/>
      <c r="W209" s="4" t="str">
        <f t="shared" si="2"/>
        <v>,,,,,,,,,,,,,,,,,,,,,12-30-1899</v>
      </c>
      <c r="X209" s="15" t="str">
        <f t="shared" si="3"/>
        <v/>
      </c>
      <c r="Y209" s="15"/>
      <c r="Z209" s="15"/>
      <c r="AA209" s="15"/>
      <c r="AB209" s="15"/>
    </row>
    <row r="210" ht="15.75" customHeight="1">
      <c r="A210" s="9" t="str">
        <f>IFERROR(__xludf.DUMMYFUNCTION("if(B210="""","""", REGEXEXTRACT(B210,""(.*)-.*"") &amp; ""-"" &amp; COUNTA($B$2:B210))"),"")</f>
        <v/>
      </c>
      <c r="B210" s="16"/>
      <c r="C210" s="16"/>
      <c r="D210" s="2"/>
      <c r="E210" s="2"/>
      <c r="F210" s="16"/>
      <c r="G210" s="12" t="str">
        <f t="shared" si="1"/>
        <v/>
      </c>
      <c r="H210" s="17"/>
      <c r="I210" s="16"/>
      <c r="J210" s="16"/>
      <c r="K210" s="16"/>
      <c r="L210" s="12" t="str">
        <f t="array" ref="L210">if(D210= "standard", "", if(iserror(index(dilution_factor!$J$2:J387,match(dilution_factor!A215,$C$2:C387,0))),"",index(dilution_factor!$J$2:J387,match(dilution_factor!A215,$C$2:C387,0))))</f>
        <v/>
      </c>
      <c r="M210" s="16"/>
      <c r="N210" s="16"/>
      <c r="O210" s="16"/>
      <c r="P210" s="16"/>
      <c r="Q210" s="16"/>
      <c r="R210" s="16"/>
      <c r="S210" s="16"/>
      <c r="T210" s="2"/>
      <c r="U210" s="2"/>
      <c r="V210" s="17"/>
      <c r="W210" s="4" t="str">
        <f t="shared" si="2"/>
        <v>,,,,,,,,,,,,,,,,,,,,,12-30-1899</v>
      </c>
      <c r="X210" s="15" t="str">
        <f t="shared" si="3"/>
        <v/>
      </c>
      <c r="Y210" s="15"/>
      <c r="Z210" s="15"/>
      <c r="AA210" s="15"/>
      <c r="AB210" s="15"/>
    </row>
    <row r="211" ht="15.75" customHeight="1">
      <c r="A211" s="9" t="str">
        <f>IFERROR(__xludf.DUMMYFUNCTION("if(B211="""","""", REGEXEXTRACT(B211,""(.*)-.*"") &amp; ""-"" &amp; COUNTA($B$2:B211))"),"")</f>
        <v/>
      </c>
      <c r="B211" s="16"/>
      <c r="C211" s="16"/>
      <c r="D211" s="2"/>
      <c r="E211" s="2"/>
      <c r="F211" s="16"/>
      <c r="G211" s="12" t="str">
        <f t="shared" si="1"/>
        <v/>
      </c>
      <c r="H211" s="17"/>
      <c r="I211" s="16"/>
      <c r="J211" s="16"/>
      <c r="K211" s="16"/>
      <c r="L211" s="12" t="str">
        <f t="array" ref="L211">if(D211= "standard", "", if(iserror(index(dilution_factor!$J$2:J387,match(dilution_factor!A216,$C$2:C387,0))),"",index(dilution_factor!$J$2:J387,match(dilution_factor!A216,$C$2:C387,0))))</f>
        <v/>
      </c>
      <c r="M211" s="16"/>
      <c r="N211" s="16"/>
      <c r="O211" s="16"/>
      <c r="P211" s="16"/>
      <c r="Q211" s="16"/>
      <c r="R211" s="16"/>
      <c r="S211" s="16"/>
      <c r="T211" s="2"/>
      <c r="U211" s="2"/>
      <c r="V211" s="17"/>
      <c r="W211" s="4" t="str">
        <f t="shared" si="2"/>
        <v>,,,,,,,,,,,,,,,,,,,,,12-30-1899</v>
      </c>
      <c r="X211" s="15" t="str">
        <f t="shared" si="3"/>
        <v/>
      </c>
      <c r="Y211" s="15"/>
      <c r="Z211" s="15"/>
      <c r="AA211" s="15"/>
      <c r="AB211" s="15"/>
    </row>
    <row r="212" ht="15.75" customHeight="1">
      <c r="A212" s="9" t="str">
        <f>IFERROR(__xludf.DUMMYFUNCTION("if(B212="""","""", REGEXEXTRACT(B212,""(.*)-.*"") &amp; ""-"" &amp; COUNTA($B$2:B212))"),"")</f>
        <v/>
      </c>
      <c r="B212" s="16"/>
      <c r="C212" s="16"/>
      <c r="D212" s="2"/>
      <c r="E212" s="2"/>
      <c r="F212" s="16"/>
      <c r="G212" s="12" t="str">
        <f t="shared" si="1"/>
        <v/>
      </c>
      <c r="H212" s="17"/>
      <c r="I212" s="16"/>
      <c r="J212" s="16"/>
      <c r="K212" s="16"/>
      <c r="L212" s="12" t="str">
        <f t="array" ref="L212">if(D212= "standard", "", if(iserror(index(dilution_factor!$J$2:J387,match(dilution_factor!A217,$C$2:C387,0))),"",index(dilution_factor!$J$2:J387,match(dilution_factor!A217,$C$2:C387,0))))</f>
        <v/>
      </c>
      <c r="M212" s="16"/>
      <c r="N212" s="16"/>
      <c r="O212" s="16"/>
      <c r="P212" s="16"/>
      <c r="Q212" s="16"/>
      <c r="R212" s="16"/>
      <c r="S212" s="16"/>
      <c r="T212" s="2"/>
      <c r="U212" s="2"/>
      <c r="V212" s="17"/>
      <c r="W212" s="4" t="str">
        <f t="shared" si="2"/>
        <v>,,,,,,,,,,,,,,,,,,,,,12-30-1899</v>
      </c>
      <c r="X212" s="15" t="str">
        <f t="shared" si="3"/>
        <v/>
      </c>
      <c r="Y212" s="15"/>
      <c r="Z212" s="15"/>
      <c r="AA212" s="15"/>
      <c r="AB212" s="15"/>
    </row>
    <row r="213" ht="15.75" customHeight="1">
      <c r="A213" s="9" t="str">
        <f>IFERROR(__xludf.DUMMYFUNCTION("if(B213="""","""", REGEXEXTRACT(B213,""(.*)-.*"") &amp; ""-"" &amp; COUNTA($B$2:B213))"),"")</f>
        <v/>
      </c>
      <c r="B213" s="16"/>
      <c r="C213" s="16"/>
      <c r="D213" s="2"/>
      <c r="E213" s="2"/>
      <c r="F213" s="16"/>
      <c r="G213" s="12" t="str">
        <f t="shared" si="1"/>
        <v/>
      </c>
      <c r="H213" s="17"/>
      <c r="I213" s="16"/>
      <c r="J213" s="16"/>
      <c r="K213" s="16"/>
      <c r="L213" s="12" t="str">
        <f t="array" ref="L213">if(D213= "standard", "", if(iserror(index(dilution_factor!$J$2:J387,match(dilution_factor!A218,$C$2:C387,0))),"",index(dilution_factor!$J$2:J387,match(dilution_factor!A218,$C$2:C387,0))))</f>
        <v/>
      </c>
      <c r="M213" s="16"/>
      <c r="N213" s="16"/>
      <c r="O213" s="16"/>
      <c r="P213" s="16"/>
      <c r="Q213" s="16"/>
      <c r="R213" s="16"/>
      <c r="S213" s="16"/>
      <c r="T213" s="2"/>
      <c r="U213" s="2"/>
      <c r="V213" s="17"/>
      <c r="W213" s="4" t="str">
        <f t="shared" si="2"/>
        <v>,,,,,,,,,,,,,,,,,,,,,12-30-1899</v>
      </c>
      <c r="X213" s="15" t="str">
        <f t="shared" si="3"/>
        <v/>
      </c>
      <c r="Y213" s="15"/>
      <c r="Z213" s="15"/>
      <c r="AA213" s="15"/>
      <c r="AB213" s="15"/>
    </row>
    <row r="214" ht="15.75" customHeight="1">
      <c r="A214" s="9" t="str">
        <f>IFERROR(__xludf.DUMMYFUNCTION("if(B214="""","""", REGEXEXTRACT(B214,""(.*)-.*"") &amp; ""-"" &amp; COUNTA($B$2:B214))"),"")</f>
        <v/>
      </c>
      <c r="B214" s="16"/>
      <c r="C214" s="16"/>
      <c r="D214" s="2"/>
      <c r="E214" s="2"/>
      <c r="F214" s="16"/>
      <c r="G214" s="12" t="str">
        <f t="shared" si="1"/>
        <v/>
      </c>
      <c r="H214" s="17"/>
      <c r="I214" s="16"/>
      <c r="J214" s="16"/>
      <c r="K214" s="16"/>
      <c r="L214" s="12" t="str">
        <f t="array" ref="L214">if(D214= "standard", "", if(iserror(index(dilution_factor!$J$2:J387,match(dilution_factor!A219,$C$2:C387,0))),"",index(dilution_factor!$J$2:J387,match(dilution_factor!A219,$C$2:C387,0))))</f>
        <v/>
      </c>
      <c r="M214" s="16"/>
      <c r="N214" s="16"/>
      <c r="O214" s="16"/>
      <c r="P214" s="16"/>
      <c r="Q214" s="16"/>
      <c r="R214" s="16"/>
      <c r="S214" s="16"/>
      <c r="T214" s="2"/>
      <c r="U214" s="2"/>
      <c r="V214" s="17"/>
      <c r="W214" s="4" t="str">
        <f t="shared" si="2"/>
        <v>,,,,,,,,,,,,,,,,,,,,,12-30-1899</v>
      </c>
      <c r="X214" s="15" t="str">
        <f t="shared" si="3"/>
        <v/>
      </c>
      <c r="Y214" s="15"/>
      <c r="Z214" s="15"/>
      <c r="AA214" s="15"/>
      <c r="AB214" s="15"/>
    </row>
    <row r="215" ht="15.75" customHeight="1">
      <c r="A215" s="9" t="str">
        <f>IFERROR(__xludf.DUMMYFUNCTION("if(B215="""","""", REGEXEXTRACT(B215,""(.*)-.*"") &amp; ""-"" &amp; COUNTA($B$2:B215))"),"")</f>
        <v/>
      </c>
      <c r="B215" s="16"/>
      <c r="C215" s="16"/>
      <c r="D215" s="2"/>
      <c r="E215" s="2"/>
      <c r="F215" s="16"/>
      <c r="G215" s="12" t="str">
        <f t="shared" si="1"/>
        <v/>
      </c>
      <c r="H215" s="17"/>
      <c r="I215" s="16"/>
      <c r="J215" s="16"/>
      <c r="K215" s="16"/>
      <c r="L215" s="12" t="str">
        <f t="array" ref="L215">if(D215= "standard", "", if(iserror(index(dilution_factor!$J$2:J387,match(dilution_factor!A220,$C$2:C387,0))),"",index(dilution_factor!$J$2:J387,match(dilution_factor!A220,$C$2:C387,0))))</f>
        <v/>
      </c>
      <c r="M215" s="16"/>
      <c r="N215" s="16"/>
      <c r="O215" s="16"/>
      <c r="P215" s="16"/>
      <c r="Q215" s="16"/>
      <c r="R215" s="16"/>
      <c r="S215" s="16"/>
      <c r="T215" s="2"/>
      <c r="U215" s="2"/>
      <c r="V215" s="17"/>
      <c r="W215" s="4" t="str">
        <f t="shared" si="2"/>
        <v>,,,,,,,,,,,,,,,,,,,,,12-30-1899</v>
      </c>
      <c r="X215" s="15" t="str">
        <f t="shared" si="3"/>
        <v/>
      </c>
      <c r="Y215" s="15"/>
      <c r="Z215" s="15"/>
      <c r="AA215" s="15"/>
      <c r="AB215" s="15"/>
    </row>
    <row r="216" ht="15.75" customHeight="1">
      <c r="A216" s="9" t="str">
        <f>IFERROR(__xludf.DUMMYFUNCTION("if(B216="""","""", REGEXEXTRACT(B216,""(.*)-.*"") &amp; ""-"" &amp; COUNTA($B$2:B216))"),"")</f>
        <v/>
      </c>
      <c r="B216" s="16"/>
      <c r="C216" s="16"/>
      <c r="D216" s="2"/>
      <c r="E216" s="2"/>
      <c r="F216" s="16"/>
      <c r="G216" s="12" t="str">
        <f t="shared" si="1"/>
        <v/>
      </c>
      <c r="H216" s="17"/>
      <c r="I216" s="16"/>
      <c r="J216" s="16"/>
      <c r="K216" s="16"/>
      <c r="L216" s="12" t="str">
        <f t="array" ref="L216">if(D216= "standard", "", if(iserror(index(dilution_factor!$J$2:J387,match(dilution_factor!A221,$C$2:C387,0))),"",index(dilution_factor!$J$2:J387,match(dilution_factor!A221,$C$2:C387,0))))</f>
        <v/>
      </c>
      <c r="M216" s="16"/>
      <c r="N216" s="16"/>
      <c r="O216" s="16"/>
      <c r="P216" s="16"/>
      <c r="Q216" s="16"/>
      <c r="R216" s="16"/>
      <c r="S216" s="16"/>
      <c r="T216" s="2"/>
      <c r="U216" s="2"/>
      <c r="V216" s="17"/>
      <c r="W216" s="4" t="str">
        <f t="shared" si="2"/>
        <v>,,,,,,,,,,,,,,,,,,,,,12-30-1899</v>
      </c>
      <c r="X216" s="15" t="str">
        <f t="shared" si="3"/>
        <v/>
      </c>
      <c r="Y216" s="15"/>
      <c r="Z216" s="15"/>
      <c r="AA216" s="15"/>
      <c r="AB216" s="15"/>
    </row>
    <row r="217" ht="15.75" customHeight="1">
      <c r="A217" s="9" t="str">
        <f>IFERROR(__xludf.DUMMYFUNCTION("if(B217="""","""", REGEXEXTRACT(B217,""(.*)-.*"") &amp; ""-"" &amp; COUNTA($B$2:B217))"),"")</f>
        <v/>
      </c>
      <c r="B217" s="16"/>
      <c r="C217" s="16"/>
      <c r="D217" s="2"/>
      <c r="E217" s="2"/>
      <c r="F217" s="16"/>
      <c r="G217" s="12" t="str">
        <f t="shared" si="1"/>
        <v/>
      </c>
      <c r="H217" s="17"/>
      <c r="I217" s="16"/>
      <c r="J217" s="16"/>
      <c r="K217" s="16"/>
      <c r="L217" s="12" t="str">
        <f t="array" ref="L217">if(D217= "standard", "", if(iserror(index(dilution_factor!$J$2:J387,match(dilution_factor!A222,$C$2:C387,0))),"",index(dilution_factor!$J$2:J387,match(dilution_factor!A222,$C$2:C387,0))))</f>
        <v/>
      </c>
      <c r="M217" s="16"/>
      <c r="N217" s="16"/>
      <c r="O217" s="16"/>
      <c r="P217" s="16"/>
      <c r="Q217" s="16"/>
      <c r="R217" s="16"/>
      <c r="S217" s="16"/>
      <c r="T217" s="2"/>
      <c r="U217" s="2"/>
      <c r="V217" s="17"/>
      <c r="W217" s="4" t="str">
        <f t="shared" si="2"/>
        <v>,,,,,,,,,,,,,,,,,,,,,12-30-1899</v>
      </c>
      <c r="X217" s="15" t="str">
        <f t="shared" si="3"/>
        <v/>
      </c>
      <c r="Y217" s="15"/>
      <c r="Z217" s="15"/>
      <c r="AA217" s="15"/>
      <c r="AB217" s="15"/>
    </row>
    <row r="218" ht="15.75" customHeight="1">
      <c r="A218" s="9" t="str">
        <f>IFERROR(__xludf.DUMMYFUNCTION("if(B218="""","""", REGEXEXTRACT(B218,""(.*)-.*"") &amp; ""-"" &amp; COUNTA($B$2:B218))"),"")</f>
        <v/>
      </c>
      <c r="B218" s="16"/>
      <c r="C218" s="16"/>
      <c r="D218" s="2"/>
      <c r="E218" s="2"/>
      <c r="F218" s="16"/>
      <c r="G218" s="12" t="str">
        <f t="shared" si="1"/>
        <v/>
      </c>
      <c r="H218" s="17"/>
      <c r="I218" s="16"/>
      <c r="J218" s="16"/>
      <c r="K218" s="16"/>
      <c r="L218" s="12" t="str">
        <f t="array" ref="L218">if(D218= "standard", "", if(iserror(index(dilution_factor!$J$2:J387,match(dilution_factor!A223,$C$2:C387,0))),"",index(dilution_factor!$J$2:J387,match(dilution_factor!A223,$C$2:C387,0))))</f>
        <v/>
      </c>
      <c r="M218" s="16"/>
      <c r="N218" s="16"/>
      <c r="O218" s="16"/>
      <c r="P218" s="16"/>
      <c r="Q218" s="16"/>
      <c r="R218" s="16"/>
      <c r="S218" s="16"/>
      <c r="T218" s="2"/>
      <c r="U218" s="2"/>
      <c r="V218" s="17"/>
      <c r="W218" s="4" t="str">
        <f t="shared" si="2"/>
        <v>,,,,,,,,,,,,,,,,,,,,,12-30-1899</v>
      </c>
      <c r="X218" s="15" t="str">
        <f t="shared" si="3"/>
        <v/>
      </c>
      <c r="Y218" s="15"/>
      <c r="Z218" s="15"/>
      <c r="AA218" s="15"/>
      <c r="AB218" s="15"/>
    </row>
    <row r="219" ht="15.75" customHeight="1">
      <c r="A219" s="9" t="str">
        <f>IFERROR(__xludf.DUMMYFUNCTION("if(B219="""","""", REGEXEXTRACT(B219,""(.*)-.*"") &amp; ""-"" &amp; COUNTA($B$2:B219))"),"")</f>
        <v/>
      </c>
      <c r="B219" s="16"/>
      <c r="C219" s="16"/>
      <c r="D219" s="2"/>
      <c r="E219" s="2"/>
      <c r="F219" s="16"/>
      <c r="G219" s="12" t="str">
        <f t="shared" si="1"/>
        <v/>
      </c>
      <c r="H219" s="17"/>
      <c r="I219" s="16"/>
      <c r="J219" s="16"/>
      <c r="K219" s="16"/>
      <c r="L219" s="12" t="str">
        <f t="array" ref="L219">if(D219= "standard", "", if(iserror(index(dilution_factor!$J$2:J387,match(dilution_factor!A224,$C$2:C387,0))),"",index(dilution_factor!$J$2:J387,match(dilution_factor!A224,$C$2:C387,0))))</f>
        <v/>
      </c>
      <c r="M219" s="16"/>
      <c r="N219" s="16"/>
      <c r="O219" s="16"/>
      <c r="P219" s="16"/>
      <c r="Q219" s="16"/>
      <c r="R219" s="16"/>
      <c r="S219" s="16"/>
      <c r="T219" s="2"/>
      <c r="U219" s="2"/>
      <c r="V219" s="17"/>
      <c r="W219" s="4" t="str">
        <f t="shared" si="2"/>
        <v>,,,,,,,,,,,,,,,,,,,,,12-30-1899</v>
      </c>
      <c r="X219" s="15"/>
      <c r="Y219" s="15"/>
      <c r="Z219" s="15"/>
      <c r="AA219" s="15"/>
      <c r="AB219" s="15"/>
    </row>
    <row r="220" ht="15.75" customHeight="1">
      <c r="A220" s="9" t="str">
        <f>IFERROR(__xludf.DUMMYFUNCTION("if(B220="""","""", REGEXEXTRACT(B220,""(.*)-.*"") &amp; ""-"" &amp; COUNTA($B$2:B220))"),"")</f>
        <v/>
      </c>
      <c r="B220" s="16"/>
      <c r="C220" s="16"/>
      <c r="D220" s="2"/>
      <c r="E220" s="2"/>
      <c r="F220" s="16"/>
      <c r="G220" s="12" t="str">
        <f t="shared" si="1"/>
        <v/>
      </c>
      <c r="H220" s="17"/>
      <c r="I220" s="16"/>
      <c r="J220" s="16"/>
      <c r="K220" s="16"/>
      <c r="L220" s="12" t="str">
        <f t="array" ref="L220">if(D220= "standard", "", if(iserror(index(dilution_factor!$J$2:J387,match(dilution_factor!A225,$C$2:C387,0))),"",index(dilution_factor!$J$2:J387,match(dilution_factor!A225,$C$2:C387,0))))</f>
        <v/>
      </c>
      <c r="M220" s="16"/>
      <c r="N220" s="16"/>
      <c r="O220" s="16"/>
      <c r="P220" s="16"/>
      <c r="Q220" s="16"/>
      <c r="R220" s="16"/>
      <c r="S220" s="16"/>
      <c r="T220" s="2"/>
      <c r="U220" s="2"/>
      <c r="V220" s="17"/>
      <c r="W220" s="4" t="str">
        <f t="shared" si="2"/>
        <v>,,,,,,,,,,,,,,,,,,,,,12-30-1899</v>
      </c>
      <c r="X220" s="15"/>
      <c r="Y220" s="15"/>
      <c r="Z220" s="15"/>
      <c r="AA220" s="15"/>
      <c r="AB220" s="15"/>
    </row>
    <row r="221" ht="15.75" customHeight="1">
      <c r="A221" s="9" t="str">
        <f>IFERROR(__xludf.DUMMYFUNCTION("if(B221="""","""", REGEXEXTRACT(B221,""(.*)-.*"") &amp; ""-"" &amp; COUNTA($B$2:B221))"),"")</f>
        <v/>
      </c>
      <c r="B221" s="16"/>
      <c r="C221" s="16"/>
      <c r="D221" s="2"/>
      <c r="E221" s="2"/>
      <c r="F221" s="16"/>
      <c r="G221" s="12" t="str">
        <f t="shared" si="1"/>
        <v/>
      </c>
      <c r="H221" s="17"/>
      <c r="I221" s="16"/>
      <c r="J221" s="16"/>
      <c r="K221" s="16"/>
      <c r="L221" s="12" t="str">
        <f t="array" ref="L221">if(D221= "standard", "", if(iserror(index(dilution_factor!$J$2:J387,match(dilution_factor!A226,$C$2:C387,0))),"",index(dilution_factor!$J$2:J387,match(dilution_factor!A226,$C$2:C387,0))))</f>
        <v/>
      </c>
      <c r="M221" s="16"/>
      <c r="N221" s="16"/>
      <c r="O221" s="16"/>
      <c r="P221" s="16"/>
      <c r="Q221" s="16"/>
      <c r="R221" s="16"/>
      <c r="S221" s="16"/>
      <c r="T221" s="2"/>
      <c r="U221" s="2"/>
      <c r="V221" s="17"/>
      <c r="W221" s="4" t="str">
        <f t="shared" si="2"/>
        <v>,,,,,,,,,,,,,,,,,,,,,12-30-1899</v>
      </c>
      <c r="X221" s="15"/>
      <c r="Y221" s="15"/>
      <c r="Z221" s="15"/>
      <c r="AA221" s="15"/>
      <c r="AB221" s="15"/>
    </row>
    <row r="222" ht="15.75" customHeight="1">
      <c r="A222" s="9" t="str">
        <f>IFERROR(__xludf.DUMMYFUNCTION("if(B222="""","""", REGEXEXTRACT(B222,""(.*)-.*"") &amp; ""-"" &amp; COUNTA($B$2:B222))"),"")</f>
        <v/>
      </c>
      <c r="B222" s="16"/>
      <c r="C222" s="16"/>
      <c r="D222" s="2"/>
      <c r="E222" s="2"/>
      <c r="F222" s="16"/>
      <c r="G222" s="12" t="str">
        <f t="shared" si="1"/>
        <v/>
      </c>
      <c r="H222" s="17"/>
      <c r="I222" s="16"/>
      <c r="J222" s="16"/>
      <c r="K222" s="16"/>
      <c r="L222" s="12" t="str">
        <f t="array" ref="L222">if(D222= "standard", "", if(iserror(index(dilution_factor!$J$2:J387,match(dilution_factor!A227,$C$2:C387,0))),"",index(dilution_factor!$J$2:J387,match(dilution_factor!A227,$C$2:C387,0))))</f>
        <v/>
      </c>
      <c r="M222" s="16"/>
      <c r="N222" s="16"/>
      <c r="O222" s="16"/>
      <c r="P222" s="16"/>
      <c r="Q222" s="16"/>
      <c r="R222" s="16"/>
      <c r="S222" s="16"/>
      <c r="T222" s="2"/>
      <c r="U222" s="2"/>
      <c r="V222" s="17"/>
      <c r="W222" s="4" t="str">
        <f t="shared" si="2"/>
        <v>,,,,,,,,,,,,,,,,,,,,,12-30-1899</v>
      </c>
      <c r="X222" s="15"/>
      <c r="Y222" s="15"/>
      <c r="Z222" s="15"/>
      <c r="AA222" s="15"/>
      <c r="AB222" s="15"/>
    </row>
    <row r="223" ht="15.75" customHeight="1">
      <c r="A223" s="9" t="str">
        <f>IFERROR(__xludf.DUMMYFUNCTION("if(B223="""","""", REGEXEXTRACT(B223,""(.*)-.*"") &amp; ""-"" &amp; COUNTA($B$2:B223))"),"")</f>
        <v/>
      </c>
      <c r="B223" s="16"/>
      <c r="C223" s="16"/>
      <c r="D223" s="2"/>
      <c r="E223" s="2"/>
      <c r="F223" s="16"/>
      <c r="G223" s="12" t="str">
        <f t="shared" si="1"/>
        <v/>
      </c>
      <c r="H223" s="17"/>
      <c r="I223" s="16"/>
      <c r="J223" s="16"/>
      <c r="K223" s="16"/>
      <c r="L223" s="12" t="str">
        <f t="array" ref="L223">if(D223= "standard", "", if(iserror(index(dilution_factor!$J$2:J387,match(dilution_factor!A228,$C$2:C387,0))),"",index(dilution_factor!$J$2:J387,match(dilution_factor!A228,$C$2:C387,0))))</f>
        <v/>
      </c>
      <c r="M223" s="16"/>
      <c r="N223" s="16"/>
      <c r="O223" s="16"/>
      <c r="P223" s="16"/>
      <c r="Q223" s="16"/>
      <c r="R223" s="16"/>
      <c r="S223" s="16"/>
      <c r="T223" s="2"/>
      <c r="U223" s="2"/>
      <c r="V223" s="17"/>
      <c r="W223" s="4" t="str">
        <f t="shared" si="2"/>
        <v>,,,,,,,,,,,,,,,,,,,,,12-30-1899</v>
      </c>
      <c r="X223" s="15"/>
      <c r="Y223" s="15"/>
      <c r="Z223" s="15"/>
      <c r="AA223" s="15"/>
      <c r="AB223" s="15"/>
    </row>
    <row r="224" ht="15.75" customHeight="1">
      <c r="A224" s="9" t="str">
        <f>IFERROR(__xludf.DUMMYFUNCTION("if(B224="""","""", REGEXEXTRACT(B224,""(.*)-.*"") &amp; ""-"" &amp; COUNTA($B$2:B224))"),"")</f>
        <v/>
      </c>
      <c r="B224" s="16"/>
      <c r="C224" s="16"/>
      <c r="D224" s="2"/>
      <c r="E224" s="2"/>
      <c r="F224" s="16"/>
      <c r="G224" s="12" t="str">
        <f t="shared" si="1"/>
        <v/>
      </c>
      <c r="H224" s="17"/>
      <c r="I224" s="16"/>
      <c r="J224" s="16"/>
      <c r="K224" s="16"/>
      <c r="L224" s="12" t="str">
        <f t="array" ref="L224">if(D224= "standard", "", if(iserror(index(dilution_factor!$J$2:J387,match(dilution_factor!A229,$C$2:C387,0))),"",index(dilution_factor!$J$2:J387,match(dilution_factor!A229,$C$2:C387,0))))</f>
        <v/>
      </c>
      <c r="M224" s="16"/>
      <c r="N224" s="16"/>
      <c r="O224" s="16"/>
      <c r="P224" s="16"/>
      <c r="Q224" s="16"/>
      <c r="R224" s="16"/>
      <c r="S224" s="16"/>
      <c r="T224" s="2"/>
      <c r="U224" s="2"/>
      <c r="V224" s="17"/>
      <c r="W224" s="4" t="str">
        <f t="shared" si="2"/>
        <v>,,,,,,,,,,,,,,,,,,,,,12-30-1899</v>
      </c>
      <c r="X224" s="15"/>
      <c r="Y224" s="15"/>
      <c r="Z224" s="15"/>
      <c r="AA224" s="15"/>
      <c r="AB224" s="15"/>
    </row>
    <row r="225" ht="15.75" customHeight="1">
      <c r="A225" s="9" t="str">
        <f>IFERROR(__xludf.DUMMYFUNCTION("if(B225="""","""", REGEXEXTRACT(B225,""(.*)-.*"") &amp; ""-"" &amp; COUNTA($B$2:B225))"),"")</f>
        <v/>
      </c>
      <c r="B225" s="16"/>
      <c r="C225" s="16"/>
      <c r="D225" s="2"/>
      <c r="E225" s="2"/>
      <c r="F225" s="16"/>
      <c r="G225" s="12" t="str">
        <f t="shared" si="1"/>
        <v/>
      </c>
      <c r="H225" s="17"/>
      <c r="I225" s="16"/>
      <c r="J225" s="16"/>
      <c r="K225" s="16"/>
      <c r="L225" s="12" t="str">
        <f t="array" ref="L225">if(D225= "standard", "", if(iserror(index(dilution_factor!$J$2:J387,match(dilution_factor!A230,$C$2:C387,0))),"",index(dilution_factor!$J$2:J387,match(dilution_factor!A230,$C$2:C387,0))))</f>
        <v/>
      </c>
      <c r="M225" s="16"/>
      <c r="N225" s="16"/>
      <c r="O225" s="16"/>
      <c r="P225" s="16"/>
      <c r="Q225" s="16"/>
      <c r="R225" s="16"/>
      <c r="S225" s="16"/>
      <c r="T225" s="2"/>
      <c r="U225" s="2"/>
      <c r="V225" s="17"/>
      <c r="W225" s="4" t="str">
        <f t="shared" si="2"/>
        <v>,,,,,,,,,,,,,,,,,,,,,12-30-1899</v>
      </c>
      <c r="X225" s="15"/>
      <c r="Y225" s="15"/>
      <c r="Z225" s="15"/>
      <c r="AA225" s="15"/>
      <c r="AB225" s="15"/>
    </row>
    <row r="226" ht="15.75" customHeight="1">
      <c r="A226" s="9" t="str">
        <f>IFERROR(__xludf.DUMMYFUNCTION("if(B226="""","""", REGEXEXTRACT(B226,""(.*)-.*"") &amp; ""-"" &amp; COUNTA($B$2:B226))"),"")</f>
        <v/>
      </c>
      <c r="B226" s="16"/>
      <c r="C226" s="16"/>
      <c r="D226" s="2"/>
      <c r="E226" s="2"/>
      <c r="F226" s="16"/>
      <c r="G226" s="12" t="str">
        <f t="shared" si="1"/>
        <v/>
      </c>
      <c r="H226" s="17"/>
      <c r="I226" s="16"/>
      <c r="J226" s="16"/>
      <c r="K226" s="16"/>
      <c r="L226" s="12"/>
      <c r="M226" s="16"/>
      <c r="N226" s="16"/>
      <c r="O226" s="16"/>
      <c r="P226" s="16"/>
      <c r="Q226" s="16"/>
      <c r="R226" s="16"/>
      <c r="S226" s="16"/>
      <c r="T226" s="2"/>
      <c r="U226" s="2"/>
      <c r="V226" s="17"/>
      <c r="W226" s="4" t="str">
        <f t="shared" si="2"/>
        <v>,,,,,,,,,,,,,,,,,,,,,12-30-1899</v>
      </c>
      <c r="X226" s="15"/>
      <c r="Y226" s="15"/>
      <c r="Z226" s="15"/>
      <c r="AA226" s="15"/>
      <c r="AB226" s="15"/>
    </row>
    <row r="227" ht="15.75" customHeight="1">
      <c r="A227" s="9" t="str">
        <f>IFERROR(__xludf.DUMMYFUNCTION("if(B227="""","""", REGEXEXTRACT(B227,""(.*)-.*"") &amp; ""-"" &amp; COUNTA($B$2:B227))"),"")</f>
        <v/>
      </c>
      <c r="B227" s="16"/>
      <c r="C227" s="16"/>
      <c r="D227" s="2"/>
      <c r="E227" s="2"/>
      <c r="F227" s="16"/>
      <c r="G227" s="12" t="str">
        <f t="shared" si="1"/>
        <v/>
      </c>
      <c r="H227" s="17"/>
      <c r="I227" s="16"/>
      <c r="J227" s="16"/>
      <c r="K227" s="16"/>
      <c r="L227" s="12"/>
      <c r="M227" s="16"/>
      <c r="N227" s="16"/>
      <c r="O227" s="16"/>
      <c r="P227" s="16"/>
      <c r="Q227" s="16"/>
      <c r="R227" s="16"/>
      <c r="S227" s="16"/>
      <c r="T227" s="2"/>
      <c r="U227" s="2"/>
      <c r="V227" s="17"/>
      <c r="W227" s="4" t="str">
        <f t="shared" si="2"/>
        <v>,,,,,,,,,,,,,,,,,,,,,12-30-1899</v>
      </c>
      <c r="X227" s="15"/>
      <c r="Y227" s="15"/>
      <c r="Z227" s="15"/>
      <c r="AA227" s="15"/>
      <c r="AB227" s="15"/>
    </row>
    <row r="228" ht="15.75" customHeight="1">
      <c r="A228" s="9" t="str">
        <f>IFERROR(__xludf.DUMMYFUNCTION("if(B228="""","""", REGEXEXTRACT(B228,""(.*)-.*"") &amp; ""-"" &amp; COUNTA($B$2:B228))"),"")</f>
        <v/>
      </c>
      <c r="B228" s="16"/>
      <c r="C228" s="16"/>
      <c r="D228" s="2"/>
      <c r="E228" s="2"/>
      <c r="F228" s="16"/>
      <c r="G228" s="12" t="str">
        <f t="shared" si="1"/>
        <v/>
      </c>
      <c r="H228" s="17"/>
      <c r="I228" s="16"/>
      <c r="J228" s="16"/>
      <c r="K228" s="16"/>
      <c r="L228" s="12"/>
      <c r="M228" s="16"/>
      <c r="N228" s="16"/>
      <c r="O228" s="16"/>
      <c r="P228" s="16"/>
      <c r="Q228" s="16"/>
      <c r="R228" s="16"/>
      <c r="S228" s="16"/>
      <c r="T228" s="2"/>
      <c r="U228" s="2"/>
      <c r="V228" s="17"/>
      <c r="W228" s="4" t="str">
        <f t="shared" si="2"/>
        <v>,,,,,,,,,,,,,,,,,,,,,12-30-1899</v>
      </c>
      <c r="X228" s="15"/>
      <c r="Y228" s="15"/>
      <c r="Z228" s="15"/>
      <c r="AA228" s="15"/>
      <c r="AB228" s="15"/>
    </row>
    <row r="229" ht="15.75" customHeight="1">
      <c r="A229" s="9" t="str">
        <f>IFERROR(__xludf.DUMMYFUNCTION("if(B229="""","""", REGEXEXTRACT(B229,""(.*)-.*"") &amp; ""-"" &amp; COUNTA($B$2:B229))"),"")</f>
        <v/>
      </c>
      <c r="B229" s="16"/>
      <c r="C229" s="16"/>
      <c r="D229" s="2"/>
      <c r="E229" s="2"/>
      <c r="F229" s="16"/>
      <c r="G229" s="12" t="str">
        <f t="shared" si="1"/>
        <v/>
      </c>
      <c r="H229" s="17"/>
      <c r="I229" s="16"/>
      <c r="J229" s="16"/>
      <c r="K229" s="16"/>
      <c r="L229" s="12"/>
      <c r="M229" s="16"/>
      <c r="N229" s="16"/>
      <c r="O229" s="16"/>
      <c r="P229" s="16"/>
      <c r="Q229" s="16"/>
      <c r="R229" s="16"/>
      <c r="S229" s="16"/>
      <c r="T229" s="2"/>
      <c r="U229" s="2"/>
      <c r="V229" s="17"/>
      <c r="W229" s="4" t="str">
        <f t="shared" si="2"/>
        <v>,,,,,,,,,,,,,,,,,,,,,12-30-1899</v>
      </c>
      <c r="X229" s="15"/>
      <c r="Y229" s="15"/>
      <c r="Z229" s="15"/>
      <c r="AA229" s="15"/>
      <c r="AB229" s="15"/>
    </row>
    <row r="230" ht="15.75" customHeight="1">
      <c r="A230" s="9" t="str">
        <f>IFERROR(__xludf.DUMMYFUNCTION("if(B230="""","""", REGEXEXTRACT(B230,""(.*)-.*"") &amp; ""-"" &amp; COUNTA($B$2:B230))"),"")</f>
        <v/>
      </c>
      <c r="B230" s="16"/>
      <c r="C230" s="16"/>
      <c r="D230" s="2"/>
      <c r="E230" s="2"/>
      <c r="F230" s="16"/>
      <c r="G230" s="12" t="str">
        <f t="shared" si="1"/>
        <v/>
      </c>
      <c r="H230" s="17"/>
      <c r="I230" s="16"/>
      <c r="J230" s="16"/>
      <c r="K230" s="16"/>
      <c r="L230" s="12"/>
      <c r="M230" s="16"/>
      <c r="N230" s="16"/>
      <c r="O230" s="16"/>
      <c r="P230" s="16"/>
      <c r="Q230" s="16"/>
      <c r="R230" s="16"/>
      <c r="S230" s="16"/>
      <c r="T230" s="2"/>
      <c r="U230" s="2"/>
      <c r="V230" s="17"/>
      <c r="W230" s="4" t="str">
        <f t="shared" si="2"/>
        <v>,,,,,,,,,,,,,,,,,,,,,12-30-1899</v>
      </c>
      <c r="X230" s="15"/>
      <c r="Y230" s="15"/>
      <c r="Z230" s="15"/>
      <c r="AA230" s="15"/>
      <c r="AB230" s="15"/>
    </row>
    <row r="231" ht="15.75" customHeight="1">
      <c r="A231" s="9" t="str">
        <f>IFERROR(__xludf.DUMMYFUNCTION("if(B231="""","""", REGEXEXTRACT(B231,""(.*)-.*"") &amp; ""-"" &amp; COUNTA($B$2:B231))"),"")</f>
        <v/>
      </c>
      <c r="B231" s="16"/>
      <c r="C231" s="16"/>
      <c r="D231" s="2"/>
      <c r="E231" s="2"/>
      <c r="F231" s="16"/>
      <c r="G231" s="12" t="str">
        <f t="shared" si="1"/>
        <v/>
      </c>
      <c r="H231" s="17"/>
      <c r="I231" s="16"/>
      <c r="J231" s="16"/>
      <c r="K231" s="16"/>
      <c r="L231" s="12"/>
      <c r="M231" s="16"/>
      <c r="N231" s="16"/>
      <c r="O231" s="16"/>
      <c r="P231" s="16"/>
      <c r="Q231" s="16"/>
      <c r="R231" s="16"/>
      <c r="S231" s="16"/>
      <c r="T231" s="2"/>
      <c r="U231" s="2"/>
      <c r="V231" s="17"/>
      <c r="W231" s="4" t="str">
        <f t="shared" si="2"/>
        <v>,,,,,,,,,,,,,,,,,,,,,12-30-1899</v>
      </c>
      <c r="X231" s="15"/>
      <c r="Y231" s="15"/>
      <c r="Z231" s="15"/>
      <c r="AA231" s="15"/>
      <c r="AB231" s="15"/>
    </row>
    <row r="232" ht="15.75" customHeight="1">
      <c r="A232" s="9" t="str">
        <f>IFERROR(__xludf.DUMMYFUNCTION("if(B232="""","""", REGEXEXTRACT(B232,""(.*)-.*"") &amp; ""-"" &amp; COUNTA($B$2:B232))"),"")</f>
        <v/>
      </c>
      <c r="B232" s="16"/>
      <c r="C232" s="16"/>
      <c r="D232" s="2"/>
      <c r="E232" s="2"/>
      <c r="F232" s="16"/>
      <c r="G232" s="12" t="str">
        <f t="shared" si="1"/>
        <v/>
      </c>
      <c r="H232" s="17"/>
      <c r="I232" s="16"/>
      <c r="J232" s="16"/>
      <c r="K232" s="16"/>
      <c r="L232" s="12"/>
      <c r="M232" s="16"/>
      <c r="N232" s="16"/>
      <c r="O232" s="16"/>
      <c r="P232" s="16"/>
      <c r="Q232" s="16"/>
      <c r="R232" s="16"/>
      <c r="S232" s="16"/>
      <c r="T232" s="2"/>
      <c r="U232" s="2"/>
      <c r="V232" s="17"/>
      <c r="W232" s="4" t="str">
        <f t="shared" si="2"/>
        <v>,,,,,,,,,,,,,,,,,,,,,12-30-1899</v>
      </c>
      <c r="X232" s="15"/>
      <c r="Y232" s="15"/>
      <c r="Z232" s="15"/>
      <c r="AA232" s="15"/>
      <c r="AB232" s="15"/>
    </row>
    <row r="233" ht="15.75" customHeight="1">
      <c r="A233" s="9" t="str">
        <f>IFERROR(__xludf.DUMMYFUNCTION("if(B233="""","""", REGEXEXTRACT(B233,""(.*)-.*"") &amp; ""-"" &amp; COUNTA($B$2:B233))"),"")</f>
        <v/>
      </c>
      <c r="B233" s="16"/>
      <c r="C233" s="16"/>
      <c r="D233" s="2"/>
      <c r="E233" s="2"/>
      <c r="F233" s="16"/>
      <c r="G233" s="12" t="str">
        <f t="shared" si="1"/>
        <v/>
      </c>
      <c r="H233" s="17"/>
      <c r="I233" s="16"/>
      <c r="J233" s="16"/>
      <c r="K233" s="16"/>
      <c r="L233" s="12"/>
      <c r="M233" s="16"/>
      <c r="N233" s="16"/>
      <c r="O233" s="16"/>
      <c r="P233" s="16"/>
      <c r="Q233" s="16"/>
      <c r="R233" s="16"/>
      <c r="S233" s="16"/>
      <c r="T233" s="2"/>
      <c r="U233" s="2"/>
      <c r="V233" s="17"/>
      <c r="W233" s="4" t="str">
        <f t="shared" si="2"/>
        <v>,,,,,,,,,,,,,,,,,,,,,12-30-1899</v>
      </c>
      <c r="X233" s="15"/>
      <c r="Y233" s="15"/>
      <c r="Z233" s="15"/>
      <c r="AA233" s="15"/>
      <c r="AB233" s="15"/>
    </row>
    <row r="234" ht="15.75" customHeight="1">
      <c r="A234" s="9" t="str">
        <f>IFERROR(__xludf.DUMMYFUNCTION("if(B234="""","""", REGEXEXTRACT(B234,""(.*)-.*"") &amp; ""-"" &amp; COUNTA($B$2:B234))"),"")</f>
        <v/>
      </c>
      <c r="B234" s="16"/>
      <c r="C234" s="16"/>
      <c r="D234" s="2"/>
      <c r="E234" s="2"/>
      <c r="F234" s="16"/>
      <c r="G234" s="12" t="str">
        <f t="shared" si="1"/>
        <v/>
      </c>
      <c r="H234" s="17"/>
      <c r="I234" s="16"/>
      <c r="J234" s="16"/>
      <c r="K234" s="16"/>
      <c r="L234" s="12"/>
      <c r="M234" s="16"/>
      <c r="N234" s="16"/>
      <c r="O234" s="16"/>
      <c r="P234" s="16"/>
      <c r="Q234" s="16"/>
      <c r="R234" s="16"/>
      <c r="S234" s="16"/>
      <c r="T234" s="2"/>
      <c r="U234" s="2"/>
      <c r="V234" s="17"/>
      <c r="W234" s="4" t="str">
        <f t="shared" si="2"/>
        <v>,,,,,,,,,,,,,,,,,,,,,12-30-1899</v>
      </c>
      <c r="X234" s="15"/>
      <c r="Y234" s="15"/>
      <c r="Z234" s="15"/>
      <c r="AA234" s="15"/>
      <c r="AB234" s="15"/>
    </row>
    <row r="235" ht="15.75" customHeight="1">
      <c r="A235" s="9" t="str">
        <f>IFERROR(__xludf.DUMMYFUNCTION("if(B235="""","""", REGEXEXTRACT(B235,""(.*)-.*"") &amp; ""-"" &amp; COUNTA($B$2:B235))"),"")</f>
        <v/>
      </c>
      <c r="B235" s="16"/>
      <c r="C235" s="16"/>
      <c r="D235" s="2"/>
      <c r="E235" s="2"/>
      <c r="F235" s="16"/>
      <c r="G235" s="12" t="str">
        <f t="shared" si="1"/>
        <v/>
      </c>
      <c r="H235" s="17"/>
      <c r="I235" s="16"/>
      <c r="J235" s="16"/>
      <c r="K235" s="16"/>
      <c r="L235" s="12"/>
      <c r="M235" s="16"/>
      <c r="N235" s="16"/>
      <c r="O235" s="16"/>
      <c r="P235" s="16"/>
      <c r="Q235" s="16"/>
      <c r="R235" s="16"/>
      <c r="S235" s="16"/>
      <c r="T235" s="2"/>
      <c r="U235" s="2"/>
      <c r="V235" s="17"/>
      <c r="W235" s="4" t="str">
        <f t="shared" si="2"/>
        <v>,,,,,,,,,,,,,,,,,,,,,12-30-1899</v>
      </c>
      <c r="X235" s="15"/>
      <c r="Y235" s="15"/>
      <c r="Z235" s="15"/>
      <c r="AA235" s="15"/>
      <c r="AB235" s="15"/>
    </row>
    <row r="236" ht="15.75" customHeight="1">
      <c r="A236" s="9" t="str">
        <f>IFERROR(__xludf.DUMMYFUNCTION("if(B236="""","""", REGEXEXTRACT(B236,""(.*)-.*"") &amp; ""-"" &amp; COUNTA($B$2:B236))"),"")</f>
        <v/>
      </c>
      <c r="B236" s="16"/>
      <c r="C236" s="16"/>
      <c r="D236" s="2"/>
      <c r="E236" s="2"/>
      <c r="F236" s="16"/>
      <c r="G236" s="12" t="str">
        <f t="shared" si="1"/>
        <v/>
      </c>
      <c r="H236" s="17"/>
      <c r="I236" s="16"/>
      <c r="J236" s="16"/>
      <c r="K236" s="16"/>
      <c r="L236" s="12"/>
      <c r="M236" s="16"/>
      <c r="N236" s="16"/>
      <c r="O236" s="16"/>
      <c r="P236" s="16"/>
      <c r="Q236" s="16"/>
      <c r="R236" s="16"/>
      <c r="S236" s="16"/>
      <c r="T236" s="2"/>
      <c r="U236" s="2"/>
      <c r="V236" s="17"/>
      <c r="W236" s="4" t="str">
        <f t="shared" si="2"/>
        <v>,,,,,,,,,,,,,,,,,,,,,12-30-1899</v>
      </c>
      <c r="X236" s="15"/>
      <c r="Y236" s="15"/>
      <c r="Z236" s="15"/>
      <c r="AA236" s="15"/>
      <c r="AB236" s="15"/>
    </row>
    <row r="237" ht="15.75" customHeight="1">
      <c r="A237" s="9" t="str">
        <f>IFERROR(__xludf.DUMMYFUNCTION("if(B237="""","""", REGEXEXTRACT(B237,""(.*)-.*"") &amp; ""-"" &amp; COUNTA($B$2:B237))"),"")</f>
        <v/>
      </c>
      <c r="B237" s="16"/>
      <c r="C237" s="16"/>
      <c r="D237" s="2"/>
      <c r="E237" s="2"/>
      <c r="F237" s="16"/>
      <c r="G237" s="12" t="str">
        <f t="shared" si="1"/>
        <v/>
      </c>
      <c r="H237" s="17"/>
      <c r="I237" s="16"/>
      <c r="J237" s="16"/>
      <c r="K237" s="16"/>
      <c r="L237" s="12"/>
      <c r="M237" s="16"/>
      <c r="N237" s="16"/>
      <c r="O237" s="16"/>
      <c r="P237" s="16"/>
      <c r="Q237" s="16"/>
      <c r="R237" s="16"/>
      <c r="S237" s="16"/>
      <c r="T237" s="2"/>
      <c r="U237" s="2"/>
      <c r="V237" s="17"/>
      <c r="W237" s="4" t="str">
        <f t="shared" si="2"/>
        <v>,,,,,,,,,,,,,,,,,,,,,12-30-1899</v>
      </c>
      <c r="X237" s="15"/>
      <c r="Y237" s="15"/>
      <c r="Z237" s="15"/>
      <c r="AA237" s="15"/>
      <c r="AB237" s="15"/>
    </row>
    <row r="238" ht="15.75" customHeight="1">
      <c r="A238" s="9" t="str">
        <f>IFERROR(__xludf.DUMMYFUNCTION("if(B238="""","""", REGEXEXTRACT(B238,""(.*)-.*"") &amp; ""-"" &amp; COUNTA($B$2:B238))"),"")</f>
        <v/>
      </c>
      <c r="B238" s="16"/>
      <c r="C238" s="16"/>
      <c r="D238" s="2"/>
      <c r="E238" s="2"/>
      <c r="F238" s="16"/>
      <c r="G238" s="12" t="str">
        <f t="shared" si="1"/>
        <v/>
      </c>
      <c r="H238" s="17"/>
      <c r="I238" s="16"/>
      <c r="J238" s="16"/>
      <c r="K238" s="16"/>
      <c r="L238" s="12"/>
      <c r="M238" s="16"/>
      <c r="N238" s="16"/>
      <c r="O238" s="16"/>
      <c r="P238" s="16"/>
      <c r="Q238" s="16"/>
      <c r="R238" s="16"/>
      <c r="S238" s="16"/>
      <c r="T238" s="2"/>
      <c r="U238" s="2"/>
      <c r="V238" s="17"/>
      <c r="W238" s="4" t="str">
        <f t="shared" si="2"/>
        <v>,,,,,,,,,,,,,,,,,,,,,12-30-1899</v>
      </c>
      <c r="X238" s="15"/>
      <c r="Y238" s="15"/>
      <c r="Z238" s="15"/>
      <c r="AA238" s="15"/>
      <c r="AB238" s="15"/>
    </row>
    <row r="239" ht="15.75" customHeight="1">
      <c r="A239" s="9" t="str">
        <f>IFERROR(__xludf.DUMMYFUNCTION("if(B239="""","""", REGEXEXTRACT(B239,""(.*)-.*"") &amp; ""-"" &amp; COUNTA($B$2:B239))"),"")</f>
        <v/>
      </c>
      <c r="B239" s="16"/>
      <c r="C239" s="16"/>
      <c r="D239" s="2"/>
      <c r="E239" s="2"/>
      <c r="F239" s="16"/>
      <c r="G239" s="12" t="str">
        <f t="shared" si="1"/>
        <v/>
      </c>
      <c r="H239" s="17"/>
      <c r="I239" s="16"/>
      <c r="J239" s="16"/>
      <c r="K239" s="16"/>
      <c r="L239" s="12"/>
      <c r="M239" s="16"/>
      <c r="N239" s="16"/>
      <c r="O239" s="16"/>
      <c r="P239" s="16"/>
      <c r="Q239" s="16"/>
      <c r="R239" s="16"/>
      <c r="S239" s="16"/>
      <c r="T239" s="2"/>
      <c r="U239" s="2"/>
      <c r="V239" s="17"/>
      <c r="W239" s="4" t="str">
        <f t="shared" si="2"/>
        <v>,,,,,,,,,,,,,,,,,,,,,12-30-1899</v>
      </c>
      <c r="X239" s="15"/>
      <c r="Y239" s="15"/>
      <c r="Z239" s="15"/>
      <c r="AA239" s="15"/>
      <c r="AB239" s="15"/>
    </row>
    <row r="240" ht="15.75" customHeight="1">
      <c r="A240" s="9" t="str">
        <f>IFERROR(__xludf.DUMMYFUNCTION("if(B240="""","""", REGEXEXTRACT(B240,""(.*)-.*"") &amp; ""-"" &amp; COUNTA($B$2:B240))"),"")</f>
        <v/>
      </c>
      <c r="B240" s="16"/>
      <c r="C240" s="16"/>
      <c r="D240" s="2"/>
      <c r="E240" s="2"/>
      <c r="F240" s="16"/>
      <c r="G240" s="12" t="str">
        <f t="shared" si="1"/>
        <v/>
      </c>
      <c r="H240" s="17"/>
      <c r="I240" s="16"/>
      <c r="J240" s="16"/>
      <c r="K240" s="16"/>
      <c r="L240" s="12"/>
      <c r="M240" s="16"/>
      <c r="N240" s="16"/>
      <c r="O240" s="16"/>
      <c r="P240" s="16"/>
      <c r="Q240" s="16"/>
      <c r="R240" s="16"/>
      <c r="S240" s="16"/>
      <c r="T240" s="2"/>
      <c r="U240" s="2"/>
      <c r="V240" s="17"/>
      <c r="W240" s="4" t="str">
        <f t="shared" si="2"/>
        <v>,,,,,,,,,,,,,,,,,,,,,12-30-1899</v>
      </c>
      <c r="X240" s="15"/>
      <c r="Y240" s="15"/>
      <c r="Z240" s="15"/>
      <c r="AA240" s="15"/>
      <c r="AB240" s="15"/>
    </row>
    <row r="241" ht="15.75" customHeight="1">
      <c r="A241" s="9" t="str">
        <f>IFERROR(__xludf.DUMMYFUNCTION("if(B241="""","""", REGEXEXTRACT(B241,""(.*)-.*"") &amp; ""-"" &amp; COUNTA($B$2:B241))"),"")</f>
        <v/>
      </c>
      <c r="B241" s="16"/>
      <c r="C241" s="16"/>
      <c r="D241" s="2"/>
      <c r="E241" s="2"/>
      <c r="F241" s="16"/>
      <c r="G241" s="12" t="str">
        <f t="shared" si="1"/>
        <v/>
      </c>
      <c r="H241" s="17"/>
      <c r="I241" s="16"/>
      <c r="J241" s="16"/>
      <c r="K241" s="16"/>
      <c r="L241" s="12"/>
      <c r="M241" s="16"/>
      <c r="N241" s="16"/>
      <c r="O241" s="16"/>
      <c r="P241" s="16"/>
      <c r="Q241" s="16"/>
      <c r="R241" s="16"/>
      <c r="S241" s="16"/>
      <c r="T241" s="2"/>
      <c r="U241" s="2"/>
      <c r="V241" s="17"/>
      <c r="W241" s="4" t="str">
        <f t="shared" si="2"/>
        <v>,,,,,,,,,,,,,,,,,,,,,12-30-1899</v>
      </c>
      <c r="X241" s="15"/>
      <c r="Y241" s="15"/>
      <c r="Z241" s="15"/>
      <c r="AA241" s="15"/>
      <c r="AB241" s="15"/>
    </row>
    <row r="242" ht="15.75" customHeight="1">
      <c r="A242" s="9" t="str">
        <f>IFERROR(__xludf.DUMMYFUNCTION("if(B242="""","""", REGEXEXTRACT(B242,""(.*)-.*"") &amp; ""-"" &amp; COUNTA($B$2:B242))"),"")</f>
        <v/>
      </c>
      <c r="B242" s="16"/>
      <c r="C242" s="16"/>
      <c r="D242" s="2"/>
      <c r="E242" s="2"/>
      <c r="F242" s="16"/>
      <c r="G242" s="12" t="str">
        <f t="shared" si="1"/>
        <v/>
      </c>
      <c r="H242" s="17"/>
      <c r="I242" s="16"/>
      <c r="J242" s="16"/>
      <c r="K242" s="16"/>
      <c r="L242" s="12"/>
      <c r="M242" s="16"/>
      <c r="N242" s="16"/>
      <c r="O242" s="16"/>
      <c r="P242" s="16"/>
      <c r="Q242" s="16"/>
      <c r="R242" s="16"/>
      <c r="S242" s="16"/>
      <c r="T242" s="2"/>
      <c r="U242" s="2"/>
      <c r="V242" s="17"/>
      <c r="W242" s="4" t="str">
        <f t="shared" si="2"/>
        <v>,,,,,,,,,,,,,,,,,,,,,12-30-1899</v>
      </c>
      <c r="X242" s="15"/>
      <c r="Y242" s="15"/>
      <c r="Z242" s="15"/>
      <c r="AA242" s="15"/>
      <c r="AB242" s="15"/>
    </row>
    <row r="243" ht="15.75" customHeight="1">
      <c r="A243" s="9" t="str">
        <f>IFERROR(__xludf.DUMMYFUNCTION("if(B243="""","""", REGEXEXTRACT(B243,""(.*)-.*"") &amp; ""-"" &amp; COUNTA($B$2:B243))"),"")</f>
        <v/>
      </c>
      <c r="B243" s="16"/>
      <c r="C243" s="16"/>
      <c r="D243" s="2"/>
      <c r="E243" s="2"/>
      <c r="F243" s="16"/>
      <c r="G243" s="12" t="str">
        <f t="shared" si="1"/>
        <v/>
      </c>
      <c r="H243" s="17"/>
      <c r="I243" s="16"/>
      <c r="J243" s="16"/>
      <c r="K243" s="16"/>
      <c r="L243" s="12"/>
      <c r="M243" s="16"/>
      <c r="N243" s="16"/>
      <c r="O243" s="16"/>
      <c r="P243" s="16"/>
      <c r="Q243" s="16"/>
      <c r="R243" s="16"/>
      <c r="S243" s="16"/>
      <c r="T243" s="2"/>
      <c r="U243" s="2"/>
      <c r="V243" s="17"/>
      <c r="W243" s="4" t="str">
        <f t="shared" si="2"/>
        <v>,,,,,,,,,,,,,,,,,,,,,12-30-1899</v>
      </c>
      <c r="X243" s="15"/>
      <c r="Y243" s="15"/>
      <c r="Z243" s="15"/>
      <c r="AA243" s="15"/>
      <c r="AB243" s="15"/>
    </row>
    <row r="244" ht="15.75" customHeight="1">
      <c r="A244" s="9" t="str">
        <f>IFERROR(__xludf.DUMMYFUNCTION("if(B244="""","""", REGEXEXTRACT(B244,""(.*)-.*"") &amp; ""-"" &amp; COUNTA($B$2:B244))"),"")</f>
        <v/>
      </c>
      <c r="B244" s="16"/>
      <c r="C244" s="16"/>
      <c r="D244" s="2"/>
      <c r="E244" s="2"/>
      <c r="F244" s="16"/>
      <c r="G244" s="12" t="str">
        <f t="shared" si="1"/>
        <v/>
      </c>
      <c r="H244" s="17"/>
      <c r="I244" s="16"/>
      <c r="J244" s="16"/>
      <c r="K244" s="16"/>
      <c r="L244" s="12"/>
      <c r="M244" s="16"/>
      <c r="N244" s="16"/>
      <c r="O244" s="16"/>
      <c r="P244" s="16"/>
      <c r="Q244" s="16"/>
      <c r="R244" s="16"/>
      <c r="S244" s="16"/>
      <c r="T244" s="2"/>
      <c r="U244" s="2"/>
      <c r="V244" s="17"/>
      <c r="W244" s="4" t="str">
        <f t="shared" si="2"/>
        <v>,,,,,,,,,,,,,,,,,,,,,12-30-1899</v>
      </c>
      <c r="X244" s="15"/>
      <c r="Y244" s="15"/>
      <c r="Z244" s="15"/>
      <c r="AA244" s="15"/>
      <c r="AB244" s="15"/>
    </row>
    <row r="245" ht="15.75" customHeight="1">
      <c r="A245" s="9" t="str">
        <f>IFERROR(__xludf.DUMMYFUNCTION("if(B245="""","""", REGEXEXTRACT(B245,""(.*)-.*"") &amp; ""-"" &amp; COUNTA($B$2:B245))"),"")</f>
        <v/>
      </c>
      <c r="B245" s="16"/>
      <c r="C245" s="16"/>
      <c r="D245" s="2"/>
      <c r="E245" s="2"/>
      <c r="F245" s="16"/>
      <c r="G245" s="12" t="str">
        <f t="shared" si="1"/>
        <v/>
      </c>
      <c r="H245" s="17"/>
      <c r="I245" s="16"/>
      <c r="J245" s="16"/>
      <c r="K245" s="16"/>
      <c r="L245" s="12"/>
      <c r="M245" s="16"/>
      <c r="N245" s="16"/>
      <c r="O245" s="16"/>
      <c r="P245" s="16"/>
      <c r="Q245" s="16"/>
      <c r="R245" s="16"/>
      <c r="S245" s="16"/>
      <c r="T245" s="2"/>
      <c r="U245" s="2"/>
      <c r="V245" s="17"/>
      <c r="W245" s="4" t="str">
        <f t="shared" si="2"/>
        <v>,,,,,,,,,,,,,,,,,,,,,12-30-1899</v>
      </c>
      <c r="X245" s="15"/>
      <c r="Y245" s="15"/>
      <c r="Z245" s="15"/>
      <c r="AA245" s="15"/>
      <c r="AB245" s="15"/>
    </row>
    <row r="246" ht="15.75" customHeight="1">
      <c r="A246" s="9" t="str">
        <f>IFERROR(__xludf.DUMMYFUNCTION("if(B246="""","""", REGEXEXTRACT(B246,""(.*)-.*"") &amp; ""-"" &amp; COUNTA($B$2:B246))"),"")</f>
        <v/>
      </c>
      <c r="B246" s="16"/>
      <c r="C246" s="16"/>
      <c r="D246" s="2"/>
      <c r="E246" s="2"/>
      <c r="F246" s="16"/>
      <c r="G246" s="12" t="str">
        <f t="shared" si="1"/>
        <v/>
      </c>
      <c r="H246" s="17"/>
      <c r="I246" s="16"/>
      <c r="J246" s="16"/>
      <c r="K246" s="16"/>
      <c r="L246" s="12"/>
      <c r="M246" s="16"/>
      <c r="N246" s="16"/>
      <c r="O246" s="16"/>
      <c r="P246" s="16"/>
      <c r="Q246" s="16"/>
      <c r="R246" s="16"/>
      <c r="S246" s="16"/>
      <c r="T246" s="2"/>
      <c r="U246" s="2"/>
      <c r="V246" s="17"/>
      <c r="W246" s="4" t="str">
        <f t="shared" si="2"/>
        <v>,,,,,,,,,,,,,,,,,,,,,12-30-1899</v>
      </c>
      <c r="X246" s="15"/>
      <c r="Y246" s="15"/>
      <c r="Z246" s="15"/>
      <c r="AA246" s="15"/>
      <c r="AB246" s="15"/>
    </row>
    <row r="247" ht="15.75" customHeight="1">
      <c r="A247" s="9" t="str">
        <f>IFERROR(__xludf.DUMMYFUNCTION("if(B247="""","""", REGEXEXTRACT(B247,""(.*)-.*"") &amp; ""-"" &amp; COUNTA($B$2:B247))"),"")</f>
        <v/>
      </c>
      <c r="B247" s="16"/>
      <c r="C247" s="16"/>
      <c r="D247" s="2"/>
      <c r="E247" s="2"/>
      <c r="F247" s="16"/>
      <c r="G247" s="12" t="str">
        <f t="shared" si="1"/>
        <v/>
      </c>
      <c r="H247" s="17"/>
      <c r="I247" s="16"/>
      <c r="J247" s="16"/>
      <c r="K247" s="16"/>
      <c r="L247" s="12"/>
      <c r="M247" s="16"/>
      <c r="N247" s="16"/>
      <c r="O247" s="16"/>
      <c r="P247" s="16"/>
      <c r="Q247" s="16"/>
      <c r="R247" s="16"/>
      <c r="S247" s="16"/>
      <c r="T247" s="2"/>
      <c r="U247" s="2"/>
      <c r="V247" s="17"/>
      <c r="W247" s="4" t="str">
        <f t="shared" si="2"/>
        <v>,,,,,,,,,,,,,,,,,,,,,12-30-1899</v>
      </c>
      <c r="X247" s="15"/>
      <c r="Y247" s="15"/>
      <c r="Z247" s="15"/>
      <c r="AA247" s="15"/>
      <c r="AB247" s="15"/>
    </row>
    <row r="248" ht="15.75" customHeight="1">
      <c r="A248" s="9" t="str">
        <f>IFERROR(__xludf.DUMMYFUNCTION("if(B248="""","""", REGEXEXTRACT(B248,""(.*)-.*"") &amp; ""-"" &amp; COUNTA($B$2:B248))"),"")</f>
        <v/>
      </c>
      <c r="B248" s="16"/>
      <c r="C248" s="16"/>
      <c r="D248" s="2"/>
      <c r="E248" s="2"/>
      <c r="F248" s="16"/>
      <c r="G248" s="12" t="str">
        <f t="shared" si="1"/>
        <v/>
      </c>
      <c r="H248" s="17"/>
      <c r="I248" s="16"/>
      <c r="J248" s="16"/>
      <c r="K248" s="16"/>
      <c r="L248" s="12"/>
      <c r="M248" s="16"/>
      <c r="N248" s="16"/>
      <c r="O248" s="16"/>
      <c r="P248" s="16"/>
      <c r="Q248" s="16"/>
      <c r="R248" s="16"/>
      <c r="S248" s="16"/>
      <c r="T248" s="2"/>
      <c r="U248" s="2"/>
      <c r="V248" s="17"/>
      <c r="W248" s="4" t="str">
        <f t="shared" si="2"/>
        <v>,,,,,,,,,,,,,,,,,,,,,12-30-1899</v>
      </c>
      <c r="X248" s="15"/>
      <c r="Y248" s="15"/>
      <c r="Z248" s="15"/>
      <c r="AA248" s="15"/>
      <c r="AB248" s="15"/>
    </row>
    <row r="249" ht="15.75" customHeight="1">
      <c r="A249" s="9" t="str">
        <f>IFERROR(__xludf.DUMMYFUNCTION("if(B249="""","""", REGEXEXTRACT(B249,""(.*)-.*"") &amp; ""-"" &amp; COUNTA($B$2:B249))"),"")</f>
        <v/>
      </c>
      <c r="B249" s="16"/>
      <c r="C249" s="16"/>
      <c r="D249" s="2"/>
      <c r="E249" s="2"/>
      <c r="F249" s="16"/>
      <c r="G249" s="12" t="str">
        <f t="shared" si="1"/>
        <v/>
      </c>
      <c r="H249" s="17"/>
      <c r="I249" s="16"/>
      <c r="J249" s="16"/>
      <c r="K249" s="16"/>
      <c r="L249" s="12"/>
      <c r="M249" s="16"/>
      <c r="N249" s="16"/>
      <c r="O249" s="16"/>
      <c r="P249" s="16"/>
      <c r="Q249" s="16"/>
      <c r="R249" s="16"/>
      <c r="S249" s="16"/>
      <c r="T249" s="2"/>
      <c r="U249" s="2"/>
      <c r="V249" s="17"/>
      <c r="W249" s="4" t="str">
        <f t="shared" si="2"/>
        <v>,,,,,,,,,,,,,,,,,,,,,12-30-1899</v>
      </c>
      <c r="X249" s="15"/>
      <c r="Y249" s="15"/>
      <c r="Z249" s="15"/>
      <c r="AA249" s="15"/>
      <c r="AB249" s="15"/>
    </row>
    <row r="250" ht="15.75" customHeight="1">
      <c r="A250" s="9" t="str">
        <f>IFERROR(__xludf.DUMMYFUNCTION("if(B250="""","""", REGEXEXTRACT(B250,""(.*)-.*"") &amp; ""-"" &amp; COUNTA($B$2:B250))"),"")</f>
        <v/>
      </c>
      <c r="B250" s="16"/>
      <c r="C250" s="16"/>
      <c r="D250" s="2"/>
      <c r="E250" s="2"/>
      <c r="F250" s="16"/>
      <c r="G250" s="12" t="str">
        <f t="shared" si="1"/>
        <v/>
      </c>
      <c r="H250" s="17"/>
      <c r="I250" s="16"/>
      <c r="J250" s="16"/>
      <c r="K250" s="16"/>
      <c r="L250" s="12"/>
      <c r="M250" s="16"/>
      <c r="N250" s="16"/>
      <c r="O250" s="16"/>
      <c r="P250" s="16"/>
      <c r="Q250" s="16"/>
      <c r="R250" s="16"/>
      <c r="S250" s="16"/>
      <c r="T250" s="2"/>
      <c r="U250" s="2"/>
      <c r="V250" s="17"/>
      <c r="W250" s="4" t="str">
        <f t="shared" si="2"/>
        <v>,,,,,,,,,,,,,,,,,,,,,12-30-1899</v>
      </c>
      <c r="X250" s="15"/>
      <c r="Y250" s="15"/>
      <c r="Z250" s="15"/>
      <c r="AA250" s="15"/>
      <c r="AB250" s="15"/>
    </row>
    <row r="251" ht="15.75" customHeight="1">
      <c r="A251" s="9" t="str">
        <f>IFERROR(__xludf.DUMMYFUNCTION("if(B251="""","""", REGEXEXTRACT(B251,""(.*)-.*"") &amp; ""-"" &amp; COUNTA($B$2:B251))"),"")</f>
        <v/>
      </c>
      <c r="B251" s="16"/>
      <c r="C251" s="16"/>
      <c r="D251" s="2"/>
      <c r="E251" s="2"/>
      <c r="F251" s="16"/>
      <c r="G251" s="12" t="str">
        <f t="shared" si="1"/>
        <v/>
      </c>
      <c r="H251" s="17"/>
      <c r="I251" s="16"/>
      <c r="J251" s="16"/>
      <c r="K251" s="16"/>
      <c r="L251" s="12"/>
      <c r="M251" s="16"/>
      <c r="N251" s="16"/>
      <c r="O251" s="16"/>
      <c r="P251" s="16"/>
      <c r="Q251" s="16"/>
      <c r="R251" s="16"/>
      <c r="S251" s="16"/>
      <c r="T251" s="2"/>
      <c r="U251" s="2"/>
      <c r="V251" s="17"/>
      <c r="W251" s="4" t="str">
        <f t="shared" si="2"/>
        <v>,,,,,,,,,,,,,,,,,,,,,12-30-1899</v>
      </c>
      <c r="X251" s="15"/>
      <c r="Y251" s="15"/>
      <c r="Z251" s="15"/>
      <c r="AA251" s="15"/>
      <c r="AB251" s="15"/>
    </row>
    <row r="252" ht="15.75" customHeight="1">
      <c r="A252" s="9" t="str">
        <f>IFERROR(__xludf.DUMMYFUNCTION("if(B252="""","""", REGEXEXTRACT(B252,""(.*)-.*"") &amp; ""-"" &amp; COUNTA($B$2:B252))"),"")</f>
        <v/>
      </c>
      <c r="B252" s="16"/>
      <c r="C252" s="16"/>
      <c r="D252" s="2"/>
      <c r="E252" s="2"/>
      <c r="F252" s="16"/>
      <c r="G252" s="12" t="str">
        <f t="shared" si="1"/>
        <v/>
      </c>
      <c r="H252" s="17"/>
      <c r="I252" s="16"/>
      <c r="J252" s="16"/>
      <c r="K252" s="16"/>
      <c r="L252" s="12"/>
      <c r="M252" s="16"/>
      <c r="N252" s="16"/>
      <c r="O252" s="16"/>
      <c r="P252" s="16"/>
      <c r="Q252" s="16"/>
      <c r="R252" s="16"/>
      <c r="S252" s="16"/>
      <c r="T252" s="2"/>
      <c r="U252" s="2"/>
      <c r="V252" s="17"/>
      <c r="W252" s="4" t="str">
        <f t="shared" si="2"/>
        <v>,,,,,,,,,,,,,,,,,,,,,12-30-1899</v>
      </c>
      <c r="X252" s="15"/>
      <c r="Y252" s="15"/>
      <c r="Z252" s="15"/>
      <c r="AA252" s="15"/>
      <c r="AB252" s="15"/>
    </row>
    <row r="253" ht="15.75" customHeight="1">
      <c r="A253" s="9" t="str">
        <f>IFERROR(__xludf.DUMMYFUNCTION("if(B253="""","""", REGEXEXTRACT(B253,""(.*)-.*"") &amp; ""-"" &amp; COUNTA($B$2:B253))"),"")</f>
        <v/>
      </c>
      <c r="B253" s="16"/>
      <c r="C253" s="16"/>
      <c r="D253" s="2"/>
      <c r="E253" s="2"/>
      <c r="F253" s="16"/>
      <c r="G253" s="12" t="str">
        <f t="shared" si="1"/>
        <v/>
      </c>
      <c r="H253" s="17"/>
      <c r="I253" s="16"/>
      <c r="J253" s="16"/>
      <c r="K253" s="16"/>
      <c r="L253" s="12"/>
      <c r="M253" s="16"/>
      <c r="N253" s="16"/>
      <c r="O253" s="16"/>
      <c r="P253" s="16"/>
      <c r="Q253" s="16"/>
      <c r="R253" s="16"/>
      <c r="S253" s="16"/>
      <c r="T253" s="2"/>
      <c r="U253" s="2"/>
      <c r="V253" s="17"/>
      <c r="W253" s="4" t="str">
        <f t="shared" si="2"/>
        <v>,,,,,,,,,,,,,,,,,,,,,12-30-1899</v>
      </c>
      <c r="X253" s="15"/>
      <c r="Y253" s="15"/>
      <c r="Z253" s="15"/>
      <c r="AA253" s="15"/>
      <c r="AB253" s="15"/>
    </row>
    <row r="254" ht="15.75" customHeight="1">
      <c r="A254" s="9" t="str">
        <f>IFERROR(__xludf.DUMMYFUNCTION("if(B254="""","""", REGEXEXTRACT(B254,""(.*)-.*"") &amp; ""-"" &amp; COUNTA($B$2:B254))"),"")</f>
        <v/>
      </c>
      <c r="B254" s="16"/>
      <c r="C254" s="16"/>
      <c r="D254" s="2"/>
      <c r="E254" s="2"/>
      <c r="F254" s="16"/>
      <c r="G254" s="12" t="str">
        <f t="shared" si="1"/>
        <v/>
      </c>
      <c r="H254" s="17"/>
      <c r="I254" s="16"/>
      <c r="J254" s="16"/>
      <c r="K254" s="16"/>
      <c r="L254" s="12"/>
      <c r="M254" s="16"/>
      <c r="N254" s="16"/>
      <c r="O254" s="16"/>
      <c r="P254" s="16"/>
      <c r="Q254" s="16"/>
      <c r="R254" s="16"/>
      <c r="S254" s="16"/>
      <c r="T254" s="2"/>
      <c r="U254" s="2"/>
      <c r="V254" s="17"/>
      <c r="W254" s="4" t="str">
        <f t="shared" si="2"/>
        <v>,,,,,,,,,,,,,,,,,,,,,12-30-1899</v>
      </c>
      <c r="X254" s="15"/>
      <c r="Y254" s="15"/>
      <c r="Z254" s="15"/>
      <c r="AA254" s="15"/>
      <c r="AB254" s="15"/>
    </row>
    <row r="255" ht="15.75" customHeight="1">
      <c r="A255" s="9" t="str">
        <f>IFERROR(__xludf.DUMMYFUNCTION("if(B255="""","""", REGEXEXTRACT(B255,""(.*)-.*"") &amp; ""-"" &amp; COUNTA($B$2:B255))"),"")</f>
        <v/>
      </c>
      <c r="B255" s="16"/>
      <c r="C255" s="16"/>
      <c r="D255" s="2"/>
      <c r="E255" s="2"/>
      <c r="F255" s="16"/>
      <c r="G255" s="12" t="str">
        <f t="shared" si="1"/>
        <v/>
      </c>
      <c r="H255" s="17"/>
      <c r="I255" s="16"/>
      <c r="J255" s="16"/>
      <c r="K255" s="16"/>
      <c r="L255" s="12"/>
      <c r="M255" s="16"/>
      <c r="N255" s="16"/>
      <c r="O255" s="16"/>
      <c r="P255" s="16"/>
      <c r="Q255" s="16"/>
      <c r="R255" s="16"/>
      <c r="S255" s="16"/>
      <c r="T255" s="2"/>
      <c r="U255" s="2"/>
      <c r="V255" s="17"/>
      <c r="W255" s="4" t="str">
        <f t="shared" si="2"/>
        <v>,,,,,,,,,,,,,,,,,,,,,12-30-1899</v>
      </c>
      <c r="X255" s="15"/>
      <c r="Y255" s="15"/>
      <c r="Z255" s="15"/>
      <c r="AA255" s="15"/>
      <c r="AB255" s="15"/>
    </row>
    <row r="256" ht="15.75" customHeight="1">
      <c r="A256" s="9" t="str">
        <f>IFERROR(__xludf.DUMMYFUNCTION("if(B256="""","""", REGEXEXTRACT(B256,""(.*)-.*"") &amp; ""-"" &amp; COUNTA($B$2:B256))"),"")</f>
        <v/>
      </c>
      <c r="B256" s="16"/>
      <c r="C256" s="16"/>
      <c r="D256" s="2"/>
      <c r="E256" s="2"/>
      <c r="F256" s="16"/>
      <c r="G256" s="12" t="str">
        <f t="shared" si="1"/>
        <v/>
      </c>
      <c r="H256" s="17"/>
      <c r="I256" s="16"/>
      <c r="J256" s="16"/>
      <c r="K256" s="16"/>
      <c r="L256" s="12"/>
      <c r="M256" s="16"/>
      <c r="N256" s="16"/>
      <c r="O256" s="16"/>
      <c r="P256" s="16"/>
      <c r="Q256" s="16"/>
      <c r="R256" s="16"/>
      <c r="S256" s="16"/>
      <c r="T256" s="2"/>
      <c r="U256" s="2"/>
      <c r="V256" s="17"/>
      <c r="W256" s="4" t="str">
        <f t="shared" si="2"/>
        <v>,,,,,,,,,,,,,,,,,,,,,12-30-1899</v>
      </c>
      <c r="X256" s="15"/>
      <c r="Y256" s="15"/>
      <c r="Z256" s="15"/>
      <c r="AA256" s="15"/>
      <c r="AB256" s="15"/>
    </row>
    <row r="257" ht="15.75" customHeight="1">
      <c r="A257" s="9" t="str">
        <f>IFERROR(__xludf.DUMMYFUNCTION("if(B257="""","""", REGEXEXTRACT(B257,""(.*)-.*"") &amp; ""-"" &amp; COUNTA($B$2:B257))"),"")</f>
        <v/>
      </c>
      <c r="B257" s="16"/>
      <c r="C257" s="16"/>
      <c r="D257" s="2"/>
      <c r="E257" s="2"/>
      <c r="F257" s="16"/>
      <c r="G257" s="12" t="str">
        <f t="shared" si="1"/>
        <v/>
      </c>
      <c r="H257" s="17"/>
      <c r="I257" s="16"/>
      <c r="J257" s="16"/>
      <c r="K257" s="16"/>
      <c r="L257" s="12"/>
      <c r="M257" s="16"/>
      <c r="N257" s="16"/>
      <c r="O257" s="16"/>
      <c r="P257" s="16"/>
      <c r="Q257" s="16"/>
      <c r="R257" s="16"/>
      <c r="S257" s="16"/>
      <c r="T257" s="2"/>
      <c r="U257" s="2"/>
      <c r="V257" s="17"/>
      <c r="W257" s="4" t="str">
        <f t="shared" si="2"/>
        <v>,,,,,,,,,,,,,,,,,,,,,12-30-1899</v>
      </c>
      <c r="X257" s="15"/>
      <c r="Y257" s="15"/>
      <c r="Z257" s="15"/>
      <c r="AA257" s="15"/>
      <c r="AB257" s="15"/>
    </row>
    <row r="258" ht="15.75" customHeight="1">
      <c r="A258" s="9" t="str">
        <f>IFERROR(__xludf.DUMMYFUNCTION("if(B258="""","""", REGEXEXTRACT(B258,""(.*)-.*"") &amp; ""-"" &amp; COUNTA($B$2:B258))"),"")</f>
        <v/>
      </c>
      <c r="B258" s="16"/>
      <c r="C258" s="16"/>
      <c r="D258" s="2"/>
      <c r="E258" s="2"/>
      <c r="F258" s="16"/>
      <c r="G258" s="12" t="str">
        <f t="shared" si="1"/>
        <v/>
      </c>
      <c r="H258" s="17"/>
      <c r="I258" s="16"/>
      <c r="J258" s="16"/>
      <c r="K258" s="16"/>
      <c r="L258" s="12"/>
      <c r="M258" s="16"/>
      <c r="N258" s="16"/>
      <c r="O258" s="16"/>
      <c r="P258" s="16"/>
      <c r="Q258" s="16"/>
      <c r="R258" s="16"/>
      <c r="S258" s="16"/>
      <c r="T258" s="2"/>
      <c r="U258" s="2"/>
      <c r="V258" s="17"/>
      <c r="W258" s="4" t="str">
        <f t="shared" si="2"/>
        <v>,,,,,,,,,,,,,,,,,,,,,12-30-1899</v>
      </c>
      <c r="X258" s="15"/>
      <c r="Y258" s="15"/>
      <c r="Z258" s="15"/>
      <c r="AA258" s="15"/>
      <c r="AB258" s="15"/>
    </row>
    <row r="259" ht="15.75" customHeight="1">
      <c r="A259" s="9" t="str">
        <f>IFERROR(__xludf.DUMMYFUNCTION("if(B259="""","""", REGEXEXTRACT(B259,""(.*)-.*"") &amp; ""-"" &amp; COUNTA($B$2:B259))"),"")</f>
        <v/>
      </c>
      <c r="B259" s="16"/>
      <c r="C259" s="16"/>
      <c r="D259" s="2"/>
      <c r="E259" s="2"/>
      <c r="F259" s="16"/>
      <c r="G259" s="12" t="str">
        <f t="shared" si="1"/>
        <v/>
      </c>
      <c r="H259" s="17"/>
      <c r="I259" s="16"/>
      <c r="J259" s="16"/>
      <c r="K259" s="16"/>
      <c r="L259" s="12"/>
      <c r="M259" s="16"/>
      <c r="N259" s="16"/>
      <c r="O259" s="16"/>
      <c r="P259" s="16"/>
      <c r="Q259" s="16"/>
      <c r="R259" s="16"/>
      <c r="S259" s="16"/>
      <c r="T259" s="2"/>
      <c r="U259" s="2"/>
      <c r="V259" s="17"/>
      <c r="W259" s="4" t="str">
        <f t="shared" si="2"/>
        <v>,,,,,,,,,,,,,,,,,,,,,12-30-1899</v>
      </c>
      <c r="X259" s="15"/>
      <c r="Y259" s="15"/>
      <c r="Z259" s="15"/>
      <c r="AA259" s="15"/>
      <c r="AB259" s="15"/>
    </row>
    <row r="260" ht="15.75" customHeight="1">
      <c r="A260" s="9" t="str">
        <f>IFERROR(__xludf.DUMMYFUNCTION("if(B260="""","""", REGEXEXTRACT(B260,""(.*)-.*"") &amp; ""-"" &amp; COUNTA($B$2:B260))"),"")</f>
        <v/>
      </c>
      <c r="B260" s="16"/>
      <c r="C260" s="16"/>
      <c r="D260" s="2"/>
      <c r="E260" s="2"/>
      <c r="F260" s="16"/>
      <c r="G260" s="12" t="str">
        <f t="shared" si="1"/>
        <v/>
      </c>
      <c r="H260" s="17"/>
      <c r="I260" s="16"/>
      <c r="J260" s="16"/>
      <c r="K260" s="16"/>
      <c r="L260" s="12"/>
      <c r="M260" s="16"/>
      <c r="N260" s="16"/>
      <c r="O260" s="16"/>
      <c r="P260" s="16"/>
      <c r="Q260" s="16"/>
      <c r="R260" s="16"/>
      <c r="S260" s="16"/>
      <c r="T260" s="2"/>
      <c r="U260" s="2"/>
      <c r="V260" s="17"/>
      <c r="W260" s="4" t="str">
        <f t="shared" si="2"/>
        <v>,,,,,,,,,,,,,,,,,,,,,12-30-1899</v>
      </c>
      <c r="X260" s="15"/>
      <c r="Y260" s="15"/>
      <c r="Z260" s="15"/>
      <c r="AA260" s="15"/>
      <c r="AB260" s="15"/>
    </row>
    <row r="261" ht="15.75" customHeight="1">
      <c r="A261" s="9" t="str">
        <f>IFERROR(__xludf.DUMMYFUNCTION("if(B261="""","""", REGEXEXTRACT(B261,""(.*)-.*"") &amp; ""-"" &amp; COUNTA($B$2:B261))"),"")</f>
        <v/>
      </c>
      <c r="B261" s="16"/>
      <c r="C261" s="16"/>
      <c r="D261" s="2"/>
      <c r="E261" s="2"/>
      <c r="F261" s="16"/>
      <c r="G261" s="12" t="str">
        <f t="shared" si="1"/>
        <v/>
      </c>
      <c r="H261" s="17"/>
      <c r="I261" s="16"/>
      <c r="J261" s="16"/>
      <c r="K261" s="16"/>
      <c r="L261" s="12"/>
      <c r="M261" s="16"/>
      <c r="N261" s="16"/>
      <c r="O261" s="16"/>
      <c r="P261" s="16"/>
      <c r="Q261" s="16"/>
      <c r="R261" s="16"/>
      <c r="S261" s="16"/>
      <c r="T261" s="2"/>
      <c r="U261" s="2"/>
      <c r="V261" s="17"/>
      <c r="W261" s="4" t="str">
        <f t="shared" si="2"/>
        <v>,,,,,,,,,,,,,,,,,,,,,12-30-1899</v>
      </c>
      <c r="X261" s="15"/>
      <c r="Y261" s="15"/>
      <c r="Z261" s="15"/>
      <c r="AA261" s="15"/>
      <c r="AB261" s="15"/>
    </row>
    <row r="262" ht="15.75" customHeight="1">
      <c r="A262" s="9" t="str">
        <f>IFERROR(__xludf.DUMMYFUNCTION("if(B262="""","""", REGEXEXTRACT(B262,""(.*)-.*"") &amp; ""-"" &amp; COUNTA($B$2:B262))"),"")</f>
        <v/>
      </c>
      <c r="B262" s="16"/>
      <c r="C262" s="16"/>
      <c r="D262" s="2"/>
      <c r="E262" s="2"/>
      <c r="F262" s="16"/>
      <c r="G262" s="12" t="str">
        <f t="shared" si="1"/>
        <v/>
      </c>
      <c r="H262" s="17"/>
      <c r="I262" s="16"/>
      <c r="J262" s="16"/>
      <c r="K262" s="16"/>
      <c r="L262" s="12"/>
      <c r="M262" s="16"/>
      <c r="N262" s="16"/>
      <c r="O262" s="16"/>
      <c r="P262" s="16"/>
      <c r="Q262" s="16"/>
      <c r="R262" s="16"/>
      <c r="S262" s="16"/>
      <c r="T262" s="2"/>
      <c r="U262" s="2"/>
      <c r="V262" s="17"/>
      <c r="W262" s="4" t="str">
        <f t="shared" si="2"/>
        <v>,,,,,,,,,,,,,,,,,,,,,12-30-1899</v>
      </c>
      <c r="X262" s="15"/>
      <c r="Y262" s="15"/>
      <c r="Z262" s="15"/>
      <c r="AA262" s="15"/>
      <c r="AB262" s="15"/>
    </row>
    <row r="263" ht="15.75" customHeight="1">
      <c r="A263" s="9" t="str">
        <f>IFERROR(__xludf.DUMMYFUNCTION("if(B263="""","""", REGEXEXTRACT(B263,""(.*)-.*"") &amp; ""-"" &amp; COUNTA($B$2:B263))"),"")</f>
        <v/>
      </c>
      <c r="B263" s="16"/>
      <c r="C263" s="16"/>
      <c r="D263" s="2"/>
      <c r="E263" s="2"/>
      <c r="F263" s="16"/>
      <c r="G263" s="12" t="str">
        <f t="shared" si="1"/>
        <v/>
      </c>
      <c r="H263" s="17"/>
      <c r="I263" s="16"/>
      <c r="J263" s="16"/>
      <c r="K263" s="16"/>
      <c r="L263" s="12"/>
      <c r="M263" s="16"/>
      <c r="N263" s="16"/>
      <c r="O263" s="16"/>
      <c r="P263" s="16"/>
      <c r="Q263" s="16"/>
      <c r="R263" s="16"/>
      <c r="S263" s="16"/>
      <c r="T263" s="2"/>
      <c r="U263" s="2"/>
      <c r="V263" s="17"/>
      <c r="W263" s="4" t="str">
        <f t="shared" si="2"/>
        <v>,,,,,,,,,,,,,,,,,,,,,12-30-1899</v>
      </c>
      <c r="X263" s="15"/>
      <c r="Y263" s="15"/>
      <c r="Z263" s="15"/>
      <c r="AA263" s="15"/>
      <c r="AB263" s="15"/>
    </row>
    <row r="264" ht="15.75" customHeight="1">
      <c r="A264" s="9" t="str">
        <f>IFERROR(__xludf.DUMMYFUNCTION("if(B264="""","""", REGEXEXTRACT(B264,""(.*)-.*"") &amp; ""-"" &amp; COUNTA($B$2:B264))"),"")</f>
        <v/>
      </c>
      <c r="B264" s="16"/>
      <c r="C264" s="16"/>
      <c r="D264" s="2"/>
      <c r="E264" s="2"/>
      <c r="F264" s="16"/>
      <c r="G264" s="12" t="str">
        <f t="shared" si="1"/>
        <v/>
      </c>
      <c r="H264" s="17"/>
      <c r="I264" s="16"/>
      <c r="J264" s="16"/>
      <c r="K264" s="16"/>
      <c r="L264" s="12"/>
      <c r="M264" s="16"/>
      <c r="N264" s="16"/>
      <c r="O264" s="16"/>
      <c r="P264" s="16"/>
      <c r="Q264" s="16"/>
      <c r="R264" s="16"/>
      <c r="S264" s="16"/>
      <c r="T264" s="2"/>
      <c r="U264" s="2"/>
      <c r="V264" s="17"/>
      <c r="W264" s="4" t="str">
        <f t="shared" si="2"/>
        <v>,,,,,,,,,,,,,,,,,,,,,12-30-1899</v>
      </c>
      <c r="X264" s="15"/>
      <c r="Y264" s="15"/>
      <c r="Z264" s="15"/>
      <c r="AA264" s="15"/>
      <c r="AB264" s="15"/>
    </row>
    <row r="265" ht="15.75" customHeight="1">
      <c r="A265" s="9" t="str">
        <f>IFERROR(__xludf.DUMMYFUNCTION("if(B265="""","""", REGEXEXTRACT(B265,""(.*)-.*"") &amp; ""-"" &amp; COUNTA($B$2:B265))"),"")</f>
        <v/>
      </c>
      <c r="B265" s="16"/>
      <c r="C265" s="16"/>
      <c r="D265" s="2"/>
      <c r="E265" s="2"/>
      <c r="F265" s="16"/>
      <c r="G265" s="12" t="str">
        <f t="shared" si="1"/>
        <v/>
      </c>
      <c r="H265" s="17"/>
      <c r="I265" s="16"/>
      <c r="J265" s="16"/>
      <c r="K265" s="16"/>
      <c r="L265" s="12"/>
      <c r="M265" s="16"/>
      <c r="N265" s="16"/>
      <c r="O265" s="16"/>
      <c r="P265" s="16"/>
      <c r="Q265" s="16"/>
      <c r="R265" s="16"/>
      <c r="S265" s="16"/>
      <c r="T265" s="2"/>
      <c r="U265" s="2"/>
      <c r="V265" s="17"/>
      <c r="W265" s="4" t="str">
        <f t="shared" si="2"/>
        <v>,,,,,,,,,,,,,,,,,,,,,12-30-1899</v>
      </c>
      <c r="X265" s="15"/>
      <c r="Y265" s="15"/>
      <c r="Z265" s="15"/>
      <c r="AA265" s="15"/>
      <c r="AB265" s="15"/>
    </row>
    <row r="266" ht="15.75" customHeight="1">
      <c r="A266" s="9" t="str">
        <f>IFERROR(__xludf.DUMMYFUNCTION("if(B266="""","""", REGEXEXTRACT(B266,""(.*)-.*"") &amp; ""-"" &amp; COUNTA($B$2:B266))"),"")</f>
        <v/>
      </c>
      <c r="B266" s="16"/>
      <c r="C266" s="16"/>
      <c r="D266" s="2"/>
      <c r="E266" s="2"/>
      <c r="F266" s="16"/>
      <c r="G266" s="12" t="str">
        <f t="shared" si="1"/>
        <v/>
      </c>
      <c r="H266" s="17"/>
      <c r="I266" s="16"/>
      <c r="J266" s="16"/>
      <c r="K266" s="16"/>
      <c r="L266" s="12"/>
      <c r="M266" s="16"/>
      <c r="N266" s="16"/>
      <c r="O266" s="16"/>
      <c r="P266" s="16"/>
      <c r="Q266" s="16"/>
      <c r="R266" s="16"/>
      <c r="S266" s="16"/>
      <c r="T266" s="2"/>
      <c r="U266" s="2"/>
      <c r="V266" s="17"/>
      <c r="W266" s="4" t="str">
        <f t="shared" si="2"/>
        <v>,,,,,,,,,,,,,,,,,,,,,12-30-1899</v>
      </c>
      <c r="X266" s="15"/>
      <c r="Y266" s="15"/>
      <c r="Z266" s="15"/>
      <c r="AA266" s="15"/>
      <c r="AB266" s="15"/>
    </row>
    <row r="267" ht="15.75" customHeight="1">
      <c r="A267" s="9" t="str">
        <f>IFERROR(__xludf.DUMMYFUNCTION("if(B267="""","""", REGEXEXTRACT(B267,""(.*)-.*"") &amp; ""-"" &amp; COUNTA($B$2:B267))"),"")</f>
        <v/>
      </c>
      <c r="B267" s="16"/>
      <c r="C267" s="16"/>
      <c r="D267" s="2"/>
      <c r="E267" s="2"/>
      <c r="F267" s="16"/>
      <c r="G267" s="12" t="str">
        <f t="shared" si="1"/>
        <v/>
      </c>
      <c r="H267" s="17"/>
      <c r="I267" s="16"/>
      <c r="J267" s="16"/>
      <c r="K267" s="16"/>
      <c r="L267" s="12"/>
      <c r="M267" s="16"/>
      <c r="N267" s="16"/>
      <c r="O267" s="16"/>
      <c r="P267" s="16"/>
      <c r="Q267" s="16"/>
      <c r="R267" s="16"/>
      <c r="S267" s="16"/>
      <c r="T267" s="2"/>
      <c r="U267" s="2"/>
      <c r="V267" s="17"/>
      <c r="W267" s="4" t="str">
        <f t="shared" si="2"/>
        <v>,,,,,,,,,,,,,,,,,,,,,12-30-1899</v>
      </c>
      <c r="X267" s="15"/>
      <c r="Y267" s="15"/>
      <c r="Z267" s="15"/>
      <c r="AA267" s="15"/>
      <c r="AB267" s="15"/>
    </row>
    <row r="268" ht="15.75" customHeight="1">
      <c r="A268" s="9" t="str">
        <f>IFERROR(__xludf.DUMMYFUNCTION("if(B268="""","""", REGEXEXTRACT(B268,""(.*)-.*"") &amp; ""-"" &amp; COUNTA($B$2:B268))"),"")</f>
        <v/>
      </c>
      <c r="B268" s="16"/>
      <c r="C268" s="16"/>
      <c r="D268" s="2"/>
      <c r="E268" s="2"/>
      <c r="F268" s="16"/>
      <c r="G268" s="12" t="str">
        <f t="shared" si="1"/>
        <v/>
      </c>
      <c r="H268" s="17"/>
      <c r="I268" s="16"/>
      <c r="J268" s="16"/>
      <c r="K268" s="16"/>
      <c r="L268" s="12"/>
      <c r="M268" s="16"/>
      <c r="N268" s="16"/>
      <c r="O268" s="16"/>
      <c r="P268" s="16"/>
      <c r="Q268" s="16"/>
      <c r="R268" s="16"/>
      <c r="S268" s="16"/>
      <c r="T268" s="2"/>
      <c r="U268" s="2"/>
      <c r="V268" s="17"/>
      <c r="W268" s="4" t="str">
        <f t="shared" si="2"/>
        <v>,,,,,,,,,,,,,,,,,,,,,12-30-1899</v>
      </c>
      <c r="X268" s="15"/>
      <c r="Y268" s="15"/>
      <c r="Z268" s="15"/>
      <c r="AA268" s="15"/>
      <c r="AB268" s="15"/>
    </row>
    <row r="269" ht="15.75" customHeight="1">
      <c r="A269" s="9" t="str">
        <f>IFERROR(__xludf.DUMMYFUNCTION("if(B269="""","""", REGEXEXTRACT(B269,""(.*)-.*"") &amp; ""-"" &amp; COUNTA($B$2:B269))"),"")</f>
        <v/>
      </c>
      <c r="B269" s="16"/>
      <c r="C269" s="16"/>
      <c r="D269" s="2"/>
      <c r="E269" s="2"/>
      <c r="F269" s="16"/>
      <c r="G269" s="12" t="str">
        <f t="shared" si="1"/>
        <v/>
      </c>
      <c r="H269" s="17"/>
      <c r="I269" s="16"/>
      <c r="J269" s="16"/>
      <c r="K269" s="16"/>
      <c r="L269" s="12"/>
      <c r="M269" s="16"/>
      <c r="N269" s="16"/>
      <c r="O269" s="16"/>
      <c r="P269" s="16"/>
      <c r="Q269" s="16"/>
      <c r="R269" s="16"/>
      <c r="S269" s="16"/>
      <c r="T269" s="2"/>
      <c r="U269" s="2"/>
      <c r="V269" s="17"/>
      <c r="W269" s="4" t="str">
        <f t="shared" si="2"/>
        <v>,,,,,,,,,,,,,,,,,,,,,12-30-1899</v>
      </c>
      <c r="X269" s="15"/>
      <c r="Y269" s="15"/>
      <c r="Z269" s="15"/>
      <c r="AA269" s="15"/>
      <c r="AB269" s="15"/>
    </row>
    <row r="270" ht="15.75" customHeight="1">
      <c r="A270" s="9" t="str">
        <f>IFERROR(__xludf.DUMMYFUNCTION("if(B270="""","""", REGEXEXTRACT(B270,""(.*)-.*"") &amp; ""-"" &amp; COUNTA($B$2:B270))"),"")</f>
        <v/>
      </c>
      <c r="B270" s="16"/>
      <c r="C270" s="16"/>
      <c r="D270" s="2"/>
      <c r="E270" s="2"/>
      <c r="F270" s="16"/>
      <c r="G270" s="12" t="str">
        <f t="shared" si="1"/>
        <v/>
      </c>
      <c r="H270" s="17"/>
      <c r="I270" s="16"/>
      <c r="J270" s="16"/>
      <c r="K270" s="16"/>
      <c r="L270" s="12"/>
      <c r="M270" s="16"/>
      <c r="N270" s="16"/>
      <c r="O270" s="16"/>
      <c r="P270" s="16"/>
      <c r="Q270" s="16"/>
      <c r="R270" s="16"/>
      <c r="S270" s="16"/>
      <c r="T270" s="2"/>
      <c r="U270" s="2"/>
      <c r="V270" s="17"/>
      <c r="W270" s="4" t="str">
        <f t="shared" si="2"/>
        <v>,,,,,,,,,,,,,,,,,,,,,12-30-1899</v>
      </c>
      <c r="X270" s="15"/>
      <c r="Y270" s="15"/>
      <c r="Z270" s="15"/>
      <c r="AA270" s="15"/>
      <c r="AB270" s="15"/>
    </row>
    <row r="271" ht="15.75" customHeight="1">
      <c r="A271" s="9" t="str">
        <f>IFERROR(__xludf.DUMMYFUNCTION("if(B271="""","""", REGEXEXTRACT(B271,""(.*)-.*"") &amp; ""-"" &amp; COUNTA($B$2:B271))"),"")</f>
        <v/>
      </c>
      <c r="B271" s="16"/>
      <c r="C271" s="16"/>
      <c r="D271" s="2"/>
      <c r="E271" s="2"/>
      <c r="F271" s="16"/>
      <c r="G271" s="12" t="str">
        <f t="shared" si="1"/>
        <v/>
      </c>
      <c r="H271" s="17"/>
      <c r="I271" s="16"/>
      <c r="J271" s="16"/>
      <c r="K271" s="16"/>
      <c r="L271" s="12"/>
      <c r="M271" s="16"/>
      <c r="N271" s="16"/>
      <c r="O271" s="16"/>
      <c r="P271" s="16"/>
      <c r="Q271" s="16"/>
      <c r="R271" s="16"/>
      <c r="S271" s="16"/>
      <c r="T271" s="2"/>
      <c r="U271" s="2"/>
      <c r="V271" s="17"/>
      <c r="W271" s="4" t="str">
        <f t="shared" si="2"/>
        <v>,,,,,,,,,,,,,,,,,,,,,12-30-1899</v>
      </c>
      <c r="X271" s="15"/>
      <c r="Y271" s="15"/>
      <c r="Z271" s="15"/>
      <c r="AA271" s="15"/>
      <c r="AB271" s="15"/>
    </row>
    <row r="272" ht="15.75" customHeight="1">
      <c r="A272" s="9" t="str">
        <f>IFERROR(__xludf.DUMMYFUNCTION("if(B272="""","""", REGEXEXTRACT(B272,""(.*)-.*"") &amp; ""-"" &amp; COUNTA($B$2:B272))"),"")</f>
        <v/>
      </c>
      <c r="B272" s="16"/>
      <c r="C272" s="16"/>
      <c r="D272" s="2"/>
      <c r="E272" s="2"/>
      <c r="F272" s="16"/>
      <c r="G272" s="12" t="str">
        <f t="shared" si="1"/>
        <v/>
      </c>
      <c r="H272" s="17"/>
      <c r="I272" s="16"/>
      <c r="J272" s="16"/>
      <c r="K272" s="16"/>
      <c r="L272" s="12"/>
      <c r="M272" s="16"/>
      <c r="N272" s="16"/>
      <c r="O272" s="16"/>
      <c r="P272" s="16"/>
      <c r="Q272" s="16"/>
      <c r="R272" s="16"/>
      <c r="S272" s="16"/>
      <c r="T272" s="2"/>
      <c r="U272" s="2"/>
      <c r="V272" s="17"/>
      <c r="W272" s="4" t="str">
        <f t="shared" si="2"/>
        <v>,,,,,,,,,,,,,,,,,,,,,12-30-1899</v>
      </c>
      <c r="X272" s="15"/>
      <c r="Y272" s="15"/>
      <c r="Z272" s="15"/>
      <c r="AA272" s="15"/>
      <c r="AB272" s="15"/>
    </row>
    <row r="273" ht="15.75" customHeight="1">
      <c r="A273" s="9" t="str">
        <f>IFERROR(__xludf.DUMMYFUNCTION("if(B273="""","""", REGEXEXTRACT(B273,""(.*)-.*"") &amp; ""-"" &amp; COUNTA($B$2:B273))"),"")</f>
        <v/>
      </c>
      <c r="B273" s="16"/>
      <c r="C273" s="16"/>
      <c r="D273" s="2"/>
      <c r="E273" s="2"/>
      <c r="F273" s="16"/>
      <c r="G273" s="12" t="str">
        <f t="shared" si="1"/>
        <v/>
      </c>
      <c r="H273" s="17"/>
      <c r="I273" s="16"/>
      <c r="J273" s="16"/>
      <c r="K273" s="16"/>
      <c r="L273" s="12"/>
      <c r="M273" s="16"/>
      <c r="N273" s="16"/>
      <c r="O273" s="16"/>
      <c r="P273" s="16"/>
      <c r="Q273" s="16"/>
      <c r="R273" s="16"/>
      <c r="S273" s="16"/>
      <c r="T273" s="2"/>
      <c r="U273" s="2"/>
      <c r="V273" s="17"/>
      <c r="W273" s="4" t="str">
        <f t="shared" si="2"/>
        <v>,,,,,,,,,,,,,,,,,,,,,12-30-1899</v>
      </c>
      <c r="X273" s="15"/>
      <c r="Y273" s="15"/>
      <c r="Z273" s="15"/>
      <c r="AA273" s="15"/>
      <c r="AB273" s="15"/>
    </row>
    <row r="274" ht="15.75" customHeight="1">
      <c r="A274" s="9" t="str">
        <f>IFERROR(__xludf.DUMMYFUNCTION("if(B274="""","""", REGEXEXTRACT(B274,""(.*)-.*"") &amp; ""-"" &amp; COUNTA($B$2:B274))"),"")</f>
        <v/>
      </c>
      <c r="B274" s="16"/>
      <c r="C274" s="16"/>
      <c r="D274" s="2"/>
      <c r="E274" s="2"/>
      <c r="F274" s="16"/>
      <c r="G274" s="12" t="str">
        <f t="shared" si="1"/>
        <v/>
      </c>
      <c r="H274" s="17"/>
      <c r="I274" s="16"/>
      <c r="J274" s="16"/>
      <c r="K274" s="16"/>
      <c r="L274" s="12"/>
      <c r="M274" s="16"/>
      <c r="N274" s="16"/>
      <c r="O274" s="16"/>
      <c r="P274" s="16"/>
      <c r="Q274" s="16"/>
      <c r="R274" s="16"/>
      <c r="S274" s="16"/>
      <c r="T274" s="2"/>
      <c r="U274" s="2"/>
      <c r="V274" s="17"/>
      <c r="W274" s="4" t="str">
        <f t="shared" si="2"/>
        <v>,,,,,,,,,,,,,,,,,,,,,12-30-1899</v>
      </c>
      <c r="X274" s="15"/>
      <c r="Y274" s="15"/>
      <c r="Z274" s="15"/>
      <c r="AA274" s="15"/>
      <c r="AB274" s="15"/>
    </row>
    <row r="275" ht="15.75" customHeight="1">
      <c r="A275" s="9" t="str">
        <f>IFERROR(__xludf.DUMMYFUNCTION("if(B275="""","""", REGEXEXTRACT(B275,""(.*)-.*"") &amp; ""-"" &amp; COUNTA($B$2:B275))"),"")</f>
        <v/>
      </c>
      <c r="B275" s="16"/>
      <c r="C275" s="16"/>
      <c r="D275" s="2"/>
      <c r="E275" s="2"/>
      <c r="F275" s="16"/>
      <c r="G275" s="12" t="str">
        <f t="shared" si="1"/>
        <v/>
      </c>
      <c r="H275" s="17"/>
      <c r="I275" s="16"/>
      <c r="J275" s="16"/>
      <c r="K275" s="16"/>
      <c r="L275" s="12"/>
      <c r="M275" s="16"/>
      <c r="N275" s="16"/>
      <c r="O275" s="16"/>
      <c r="P275" s="16"/>
      <c r="Q275" s="16"/>
      <c r="R275" s="16"/>
      <c r="S275" s="16"/>
      <c r="T275" s="2"/>
      <c r="U275" s="2"/>
      <c r="V275" s="17"/>
      <c r="W275" s="4" t="str">
        <f t="shared" si="2"/>
        <v>,,,,,,,,,,,,,,,,,,,,,12-30-1899</v>
      </c>
      <c r="X275" s="15"/>
      <c r="Y275" s="15"/>
      <c r="Z275" s="15"/>
      <c r="AA275" s="15"/>
      <c r="AB275" s="15"/>
    </row>
    <row r="276" ht="15.75" customHeight="1">
      <c r="A276" s="9" t="str">
        <f>IFERROR(__xludf.DUMMYFUNCTION("if(B276="""","""", REGEXEXTRACT(B276,""(.*)-.*"") &amp; ""-"" &amp; COUNTA($B$2:B276))"),"")</f>
        <v/>
      </c>
      <c r="B276" s="16"/>
      <c r="C276" s="16"/>
      <c r="D276" s="2"/>
      <c r="E276" s="2"/>
      <c r="F276" s="16"/>
      <c r="G276" s="12" t="str">
        <f t="shared" si="1"/>
        <v/>
      </c>
      <c r="H276" s="17"/>
      <c r="I276" s="16"/>
      <c r="J276" s="16"/>
      <c r="K276" s="16"/>
      <c r="L276" s="12"/>
      <c r="M276" s="16"/>
      <c r="N276" s="16"/>
      <c r="O276" s="16"/>
      <c r="P276" s="16"/>
      <c r="Q276" s="16"/>
      <c r="R276" s="16"/>
      <c r="S276" s="16"/>
      <c r="T276" s="2"/>
      <c r="U276" s="2"/>
      <c r="V276" s="17"/>
      <c r="W276" s="4" t="str">
        <f t="shared" si="2"/>
        <v>,,,,,,,,,,,,,,,,,,,,,12-30-1899</v>
      </c>
      <c r="X276" s="15"/>
      <c r="Y276" s="15"/>
      <c r="Z276" s="15"/>
      <c r="AA276" s="15"/>
      <c r="AB276" s="15"/>
    </row>
    <row r="277" ht="15.75" customHeight="1">
      <c r="A277" s="9" t="str">
        <f>IFERROR(__xludf.DUMMYFUNCTION("if(B277="""","""", REGEXEXTRACT(B277,""(.*)-.*"") &amp; ""-"" &amp; COUNTA($B$2:B277))"),"")</f>
        <v/>
      </c>
      <c r="B277" s="16"/>
      <c r="C277" s="16"/>
      <c r="D277" s="2"/>
      <c r="E277" s="2"/>
      <c r="F277" s="16"/>
      <c r="G277" s="12" t="str">
        <f t="shared" si="1"/>
        <v/>
      </c>
      <c r="H277" s="17"/>
      <c r="I277" s="16"/>
      <c r="J277" s="16"/>
      <c r="K277" s="16"/>
      <c r="L277" s="12"/>
      <c r="M277" s="16"/>
      <c r="N277" s="16"/>
      <c r="O277" s="16"/>
      <c r="P277" s="16"/>
      <c r="Q277" s="16"/>
      <c r="R277" s="16"/>
      <c r="S277" s="16"/>
      <c r="T277" s="2"/>
      <c r="U277" s="2"/>
      <c r="V277" s="17"/>
      <c r="W277" s="4" t="str">
        <f t="shared" si="2"/>
        <v>,,,,,,,,,,,,,,,,,,,,,12-30-1899</v>
      </c>
      <c r="X277" s="15"/>
      <c r="Y277" s="15"/>
      <c r="Z277" s="15"/>
      <c r="AA277" s="15"/>
      <c r="AB277" s="15"/>
    </row>
    <row r="278" ht="15.75" customHeight="1">
      <c r="A278" s="9" t="str">
        <f>IFERROR(__xludf.DUMMYFUNCTION("if(B278="""","""", REGEXEXTRACT(B278,""(.*)-.*"") &amp; ""-"" &amp; COUNTA($B$2:B278))"),"")</f>
        <v/>
      </c>
      <c r="B278" s="16"/>
      <c r="C278" s="16"/>
      <c r="D278" s="2"/>
      <c r="E278" s="2"/>
      <c r="F278" s="16"/>
      <c r="G278" s="12" t="str">
        <f t="shared" si="1"/>
        <v/>
      </c>
      <c r="H278" s="17"/>
      <c r="I278" s="16"/>
      <c r="J278" s="16"/>
      <c r="K278" s="16"/>
      <c r="L278" s="12"/>
      <c r="M278" s="16"/>
      <c r="N278" s="16"/>
      <c r="O278" s="16"/>
      <c r="P278" s="16"/>
      <c r="Q278" s="16"/>
      <c r="R278" s="16"/>
      <c r="S278" s="16"/>
      <c r="T278" s="2"/>
      <c r="U278" s="2"/>
      <c r="V278" s="17"/>
      <c r="W278" s="4" t="str">
        <f t="shared" si="2"/>
        <v>,,,,,,,,,,,,,,,,,,,,,12-30-1899</v>
      </c>
      <c r="X278" s="15"/>
      <c r="Y278" s="15"/>
      <c r="Z278" s="15"/>
      <c r="AA278" s="15"/>
      <c r="AB278" s="15"/>
    </row>
    <row r="279" ht="15.75" customHeight="1">
      <c r="A279" s="9" t="str">
        <f>IFERROR(__xludf.DUMMYFUNCTION("if(B279="""","""", REGEXEXTRACT(B279,""(.*)-.*"") &amp; ""-"" &amp; COUNTA($B$2:B279))"),"")</f>
        <v/>
      </c>
      <c r="B279" s="16"/>
      <c r="C279" s="16"/>
      <c r="D279" s="2"/>
      <c r="E279" s="2"/>
      <c r="F279" s="16"/>
      <c r="G279" s="12" t="str">
        <f t="shared" si="1"/>
        <v/>
      </c>
      <c r="H279" s="17"/>
      <c r="I279" s="16"/>
      <c r="J279" s="16"/>
      <c r="K279" s="16"/>
      <c r="L279" s="12"/>
      <c r="M279" s="16"/>
      <c r="N279" s="16"/>
      <c r="O279" s="16"/>
      <c r="P279" s="16"/>
      <c r="Q279" s="16"/>
      <c r="R279" s="16"/>
      <c r="S279" s="16"/>
      <c r="T279" s="2"/>
      <c r="U279" s="2"/>
      <c r="V279" s="17"/>
      <c r="W279" s="4" t="str">
        <f t="shared" si="2"/>
        <v>,,,,,,,,,,,,,,,,,,,,,12-30-1899</v>
      </c>
      <c r="X279" s="15"/>
      <c r="Y279" s="15"/>
      <c r="Z279" s="15"/>
      <c r="AA279" s="15"/>
      <c r="AB279" s="15"/>
    </row>
    <row r="280" ht="15.75" customHeight="1">
      <c r="A280" s="9" t="str">
        <f>IFERROR(__xludf.DUMMYFUNCTION("if(B280="""","""", REGEXEXTRACT(B280,""(.*)-.*"") &amp; ""-"" &amp; COUNTA($B$2:B280))"),"")</f>
        <v/>
      </c>
      <c r="B280" s="16"/>
      <c r="C280" s="16"/>
      <c r="D280" s="2"/>
      <c r="E280" s="2"/>
      <c r="F280" s="16"/>
      <c r="G280" s="12" t="str">
        <f t="shared" si="1"/>
        <v/>
      </c>
      <c r="H280" s="17"/>
      <c r="I280" s="16"/>
      <c r="J280" s="16"/>
      <c r="K280" s="16"/>
      <c r="L280" s="12"/>
      <c r="M280" s="16"/>
      <c r="N280" s="16"/>
      <c r="O280" s="16"/>
      <c r="P280" s="16"/>
      <c r="Q280" s="16"/>
      <c r="R280" s="16"/>
      <c r="S280" s="16"/>
      <c r="T280" s="2"/>
      <c r="U280" s="2"/>
      <c r="V280" s="17"/>
      <c r="W280" s="4" t="str">
        <f t="shared" si="2"/>
        <v>,,,,,,,,,,,,,,,,,,,,,12-30-1899</v>
      </c>
      <c r="X280" s="15"/>
      <c r="Y280" s="15"/>
      <c r="Z280" s="15"/>
      <c r="AA280" s="15"/>
      <c r="AB280" s="15"/>
    </row>
    <row r="281" ht="15.75" customHeight="1">
      <c r="A281" s="9" t="str">
        <f>IFERROR(__xludf.DUMMYFUNCTION("if(B281="""","""", REGEXEXTRACT(B281,""(.*)-.*"") &amp; ""-"" &amp; COUNTA($B$2:B281))"),"")</f>
        <v/>
      </c>
      <c r="B281" s="16"/>
      <c r="C281" s="16"/>
      <c r="D281" s="2"/>
      <c r="E281" s="2"/>
      <c r="F281" s="16"/>
      <c r="G281" s="12" t="str">
        <f t="shared" si="1"/>
        <v/>
      </c>
      <c r="H281" s="17"/>
      <c r="I281" s="16"/>
      <c r="J281" s="16"/>
      <c r="K281" s="16"/>
      <c r="L281" s="12"/>
      <c r="M281" s="16"/>
      <c r="N281" s="16"/>
      <c r="O281" s="16"/>
      <c r="P281" s="16"/>
      <c r="Q281" s="16"/>
      <c r="R281" s="16"/>
      <c r="S281" s="16"/>
      <c r="T281" s="2"/>
      <c r="U281" s="2"/>
      <c r="V281" s="17"/>
      <c r="W281" s="4" t="str">
        <f t="shared" si="2"/>
        <v>,,,,,,,,,,,,,,,,,,,,,12-30-1899</v>
      </c>
      <c r="X281" s="15"/>
      <c r="Y281" s="15"/>
      <c r="Z281" s="15"/>
      <c r="AA281" s="15"/>
      <c r="AB281" s="15"/>
    </row>
    <row r="282" ht="15.75" customHeight="1">
      <c r="A282" s="9" t="str">
        <f>IFERROR(__xludf.DUMMYFUNCTION("if(B282="""","""", REGEXEXTRACT(B282,""(.*)-.*"") &amp; ""-"" &amp; COUNTA($B$2:B282))"),"")</f>
        <v/>
      </c>
      <c r="B282" s="16"/>
      <c r="C282" s="16"/>
      <c r="D282" s="2"/>
      <c r="E282" s="2"/>
      <c r="F282" s="16"/>
      <c r="G282" s="12" t="str">
        <f t="shared" si="1"/>
        <v/>
      </c>
      <c r="H282" s="17"/>
      <c r="I282" s="16"/>
      <c r="J282" s="16"/>
      <c r="K282" s="16"/>
      <c r="L282" s="12"/>
      <c r="M282" s="16"/>
      <c r="N282" s="16"/>
      <c r="O282" s="16"/>
      <c r="P282" s="16"/>
      <c r="Q282" s="16"/>
      <c r="R282" s="16"/>
      <c r="S282" s="16"/>
      <c r="T282" s="2"/>
      <c r="U282" s="2"/>
      <c r="V282" s="17"/>
      <c r="W282" s="4" t="str">
        <f t="shared" si="2"/>
        <v>,,,,,,,,,,,,,,,,,,,,,12-30-1899</v>
      </c>
      <c r="X282" s="15"/>
      <c r="Y282" s="15"/>
      <c r="Z282" s="15"/>
      <c r="AA282" s="15"/>
      <c r="AB282" s="15"/>
    </row>
    <row r="283" ht="15.75" customHeight="1">
      <c r="A283" s="9" t="str">
        <f>IFERROR(__xludf.DUMMYFUNCTION("if(B283="""","""", REGEXEXTRACT(B283,""(.*)-.*"") &amp; ""-"" &amp; COUNTA($B$2:B283))"),"")</f>
        <v/>
      </c>
      <c r="B283" s="16"/>
      <c r="C283" s="16"/>
      <c r="D283" s="2"/>
      <c r="E283" s="2"/>
      <c r="F283" s="16"/>
      <c r="G283" s="12" t="str">
        <f t="shared" si="1"/>
        <v/>
      </c>
      <c r="H283" s="17"/>
      <c r="I283" s="16"/>
      <c r="J283" s="16"/>
      <c r="K283" s="16"/>
      <c r="L283" s="12"/>
      <c r="M283" s="16"/>
      <c r="N283" s="16"/>
      <c r="O283" s="16"/>
      <c r="P283" s="16"/>
      <c r="Q283" s="16"/>
      <c r="R283" s="16"/>
      <c r="S283" s="16"/>
      <c r="T283" s="2"/>
      <c r="U283" s="2"/>
      <c r="V283" s="17"/>
      <c r="W283" s="4" t="str">
        <f t="shared" si="2"/>
        <v>,,,,,,,,,,,,,,,,,,,,,12-30-1899</v>
      </c>
      <c r="X283" s="15"/>
      <c r="Y283" s="15"/>
      <c r="Z283" s="15"/>
      <c r="AA283" s="15"/>
      <c r="AB283" s="15"/>
    </row>
    <row r="284" ht="15.75" customHeight="1">
      <c r="A284" s="9" t="str">
        <f>IFERROR(__xludf.DUMMYFUNCTION("if(B284="""","""", REGEXEXTRACT(B284,""(.*)-.*"") &amp; ""-"" &amp; COUNTA($B$2:B284))"),"")</f>
        <v/>
      </c>
      <c r="B284" s="16"/>
      <c r="C284" s="16"/>
      <c r="D284" s="2"/>
      <c r="E284" s="2"/>
      <c r="F284" s="16"/>
      <c r="G284" s="12" t="str">
        <f t="shared" si="1"/>
        <v/>
      </c>
      <c r="H284" s="17"/>
      <c r="I284" s="16"/>
      <c r="J284" s="16"/>
      <c r="K284" s="16"/>
      <c r="L284" s="12"/>
      <c r="M284" s="16"/>
      <c r="N284" s="16"/>
      <c r="O284" s="16"/>
      <c r="P284" s="16"/>
      <c r="Q284" s="16"/>
      <c r="R284" s="16"/>
      <c r="S284" s="16"/>
      <c r="T284" s="2"/>
      <c r="U284" s="2"/>
      <c r="V284" s="17"/>
      <c r="W284" s="4" t="str">
        <f t="shared" si="2"/>
        <v>,,,,,,,,,,,,,,,,,,,,,12-30-1899</v>
      </c>
      <c r="X284" s="15"/>
      <c r="Y284" s="15"/>
      <c r="Z284" s="15"/>
      <c r="AA284" s="15"/>
      <c r="AB284" s="15"/>
    </row>
    <row r="285" ht="15.75" customHeight="1">
      <c r="A285" s="9" t="str">
        <f>IFERROR(__xludf.DUMMYFUNCTION("if(B285="""","""", REGEXEXTRACT(B285,""(.*)-.*"") &amp; ""-"" &amp; COUNTA($B$2:B285))"),"")</f>
        <v/>
      </c>
      <c r="B285" s="16"/>
      <c r="C285" s="16"/>
      <c r="D285" s="2"/>
      <c r="E285" s="2"/>
      <c r="F285" s="16"/>
      <c r="G285" s="12" t="str">
        <f t="shared" si="1"/>
        <v/>
      </c>
      <c r="H285" s="17"/>
      <c r="I285" s="16"/>
      <c r="J285" s="16"/>
      <c r="K285" s="16"/>
      <c r="L285" s="12"/>
      <c r="M285" s="16"/>
      <c r="N285" s="16"/>
      <c r="O285" s="16"/>
      <c r="P285" s="16"/>
      <c r="Q285" s="16"/>
      <c r="R285" s="16"/>
      <c r="S285" s="16"/>
      <c r="T285" s="2"/>
      <c r="U285" s="2"/>
      <c r="V285" s="17"/>
      <c r="W285" s="4" t="str">
        <f t="shared" si="2"/>
        <v>,,,,,,,,,,,,,,,,,,,,,12-30-1899</v>
      </c>
      <c r="X285" s="15"/>
      <c r="Y285" s="15"/>
      <c r="Z285" s="15"/>
      <c r="AA285" s="15"/>
      <c r="AB285" s="15"/>
    </row>
    <row r="286" ht="15.75" customHeight="1">
      <c r="A286" s="9" t="str">
        <f>IFERROR(__xludf.DUMMYFUNCTION("if(B286="""","""", REGEXEXTRACT(B286,""(.*)-.*"") &amp; ""-"" &amp; COUNTA($B$2:B286))"),"")</f>
        <v/>
      </c>
      <c r="B286" s="16"/>
      <c r="C286" s="16"/>
      <c r="D286" s="2"/>
      <c r="E286" s="2"/>
      <c r="F286" s="16"/>
      <c r="G286" s="12" t="str">
        <f t="shared" si="1"/>
        <v/>
      </c>
      <c r="H286" s="17"/>
      <c r="I286" s="16"/>
      <c r="J286" s="16"/>
      <c r="K286" s="16"/>
      <c r="L286" s="12"/>
      <c r="M286" s="16"/>
      <c r="N286" s="16"/>
      <c r="O286" s="16"/>
      <c r="P286" s="16"/>
      <c r="Q286" s="16"/>
      <c r="R286" s="16"/>
      <c r="S286" s="16"/>
      <c r="T286" s="2"/>
      <c r="U286" s="2"/>
      <c r="V286" s="17"/>
      <c r="W286" s="4" t="str">
        <f t="shared" si="2"/>
        <v>,,,,,,,,,,,,,,,,,,,,,12-30-1899</v>
      </c>
      <c r="X286" s="15"/>
      <c r="Y286" s="15"/>
      <c r="Z286" s="15"/>
      <c r="AA286" s="15"/>
      <c r="AB286" s="15"/>
    </row>
    <row r="287" ht="15.75" customHeight="1">
      <c r="A287" s="9" t="str">
        <f>IFERROR(__xludf.DUMMYFUNCTION("if(B287="""","""", REGEXEXTRACT(B287,""(.*)-.*"") &amp; ""-"" &amp; COUNTA($B$2:B287))"),"")</f>
        <v/>
      </c>
      <c r="B287" s="16"/>
      <c r="C287" s="16"/>
      <c r="D287" s="2"/>
      <c r="E287" s="2"/>
      <c r="F287" s="16"/>
      <c r="G287" s="12" t="str">
        <f t="shared" si="1"/>
        <v/>
      </c>
      <c r="H287" s="17"/>
      <c r="I287" s="16"/>
      <c r="J287" s="16"/>
      <c r="K287" s="16"/>
      <c r="L287" s="12"/>
      <c r="M287" s="16"/>
      <c r="N287" s="16"/>
      <c r="O287" s="16"/>
      <c r="P287" s="16"/>
      <c r="Q287" s="16"/>
      <c r="R287" s="16"/>
      <c r="S287" s="16"/>
      <c r="T287" s="2"/>
      <c r="U287" s="2"/>
      <c r="V287" s="17"/>
      <c r="W287" s="4" t="str">
        <f t="shared" si="2"/>
        <v>,,,,,,,,,,,,,,,,,,,,,12-30-1899</v>
      </c>
      <c r="X287" s="15"/>
      <c r="Y287" s="15"/>
      <c r="Z287" s="15"/>
      <c r="AA287" s="15"/>
      <c r="AB287" s="15"/>
    </row>
    <row r="288" ht="15.75" customHeight="1">
      <c r="A288" s="9" t="str">
        <f>IFERROR(__xludf.DUMMYFUNCTION("if(B288="""","""", REGEXEXTRACT(B288,""(.*)-.*"") &amp; ""-"" &amp; COUNTA($B$2:B288))"),"")</f>
        <v/>
      </c>
      <c r="B288" s="16"/>
      <c r="C288" s="16"/>
      <c r="D288" s="2"/>
      <c r="E288" s="2"/>
      <c r="F288" s="16"/>
      <c r="G288" s="12" t="str">
        <f t="shared" si="1"/>
        <v/>
      </c>
      <c r="H288" s="17"/>
      <c r="I288" s="16"/>
      <c r="J288" s="16"/>
      <c r="K288" s="16"/>
      <c r="L288" s="12"/>
      <c r="M288" s="16"/>
      <c r="N288" s="16"/>
      <c r="O288" s="16"/>
      <c r="P288" s="16"/>
      <c r="Q288" s="16"/>
      <c r="R288" s="16"/>
      <c r="S288" s="16"/>
      <c r="T288" s="2"/>
      <c r="U288" s="2"/>
      <c r="V288" s="17"/>
      <c r="W288" s="4" t="str">
        <f t="shared" si="2"/>
        <v>,,,,,,,,,,,,,,,,,,,,,12-30-1899</v>
      </c>
      <c r="X288" s="15"/>
      <c r="Y288" s="15"/>
      <c r="Z288" s="15"/>
      <c r="AA288" s="15"/>
      <c r="AB288" s="15"/>
    </row>
    <row r="289" ht="15.75" customHeight="1">
      <c r="A289" s="9" t="str">
        <f>IFERROR(__xludf.DUMMYFUNCTION("if(B289="""","""", REGEXEXTRACT(B289,""(.*)-.*"") &amp; ""-"" &amp; COUNTA($B$2:B289))"),"")</f>
        <v/>
      </c>
      <c r="B289" s="16"/>
      <c r="C289" s="16"/>
      <c r="D289" s="2"/>
      <c r="E289" s="2"/>
      <c r="F289" s="16"/>
      <c r="G289" s="12" t="str">
        <f t="shared" si="1"/>
        <v/>
      </c>
      <c r="H289" s="17"/>
      <c r="I289" s="16"/>
      <c r="J289" s="16"/>
      <c r="K289" s="16"/>
      <c r="L289" s="12"/>
      <c r="M289" s="16"/>
      <c r="N289" s="16"/>
      <c r="O289" s="16"/>
      <c r="P289" s="16"/>
      <c r="Q289" s="16"/>
      <c r="R289" s="16"/>
      <c r="S289" s="16"/>
      <c r="T289" s="2"/>
      <c r="U289" s="2"/>
      <c r="V289" s="17"/>
      <c r="W289" s="4" t="str">
        <f t="shared" si="2"/>
        <v>,,,,,,,,,,,,,,,,,,,,,12-30-1899</v>
      </c>
      <c r="X289" s="15"/>
      <c r="Y289" s="15"/>
      <c r="Z289" s="15"/>
      <c r="AA289" s="15"/>
      <c r="AB289" s="15"/>
    </row>
    <row r="290" ht="15.75" customHeight="1">
      <c r="A290" s="9" t="str">
        <f>IFERROR(__xludf.DUMMYFUNCTION("if(B290="""","""", REGEXEXTRACT(B290,""(.*)-.*"") &amp; ""-"" &amp; COUNTA($B$2:B290))"),"")</f>
        <v/>
      </c>
      <c r="B290" s="16"/>
      <c r="C290" s="16"/>
      <c r="D290" s="2"/>
      <c r="E290" s="2"/>
      <c r="F290" s="16"/>
      <c r="G290" s="12" t="str">
        <f t="shared" si="1"/>
        <v/>
      </c>
      <c r="H290" s="17"/>
      <c r="I290" s="16"/>
      <c r="J290" s="16"/>
      <c r="K290" s="16"/>
      <c r="L290" s="12"/>
      <c r="M290" s="16"/>
      <c r="N290" s="16"/>
      <c r="O290" s="16"/>
      <c r="P290" s="16"/>
      <c r="Q290" s="16"/>
      <c r="R290" s="16"/>
      <c r="S290" s="16"/>
      <c r="T290" s="2"/>
      <c r="U290" s="2"/>
      <c r="V290" s="17"/>
      <c r="W290" s="4" t="str">
        <f t="shared" si="2"/>
        <v>,,,,,,,,,,,,,,,,,,,,,12-30-1899</v>
      </c>
      <c r="X290" s="15"/>
      <c r="Y290" s="15"/>
      <c r="Z290" s="15"/>
      <c r="AA290" s="15"/>
      <c r="AB290" s="15"/>
    </row>
    <row r="291" ht="15.75" customHeight="1">
      <c r="A291" s="9" t="str">
        <f>IFERROR(__xludf.DUMMYFUNCTION("if(B291="""","""", REGEXEXTRACT(B291,""(.*)-.*"") &amp; ""-"" &amp; COUNTA($B$2:B291))"),"")</f>
        <v/>
      </c>
      <c r="B291" s="16"/>
      <c r="C291" s="16"/>
      <c r="D291" s="2"/>
      <c r="E291" s="2"/>
      <c r="F291" s="16"/>
      <c r="G291" s="12" t="str">
        <f t="shared" si="1"/>
        <v/>
      </c>
      <c r="H291" s="17"/>
      <c r="I291" s="16"/>
      <c r="J291" s="16"/>
      <c r="K291" s="16"/>
      <c r="L291" s="12"/>
      <c r="M291" s="16"/>
      <c r="N291" s="16"/>
      <c r="O291" s="16"/>
      <c r="P291" s="16"/>
      <c r="Q291" s="16"/>
      <c r="R291" s="16"/>
      <c r="S291" s="16"/>
      <c r="T291" s="2"/>
      <c r="U291" s="2"/>
      <c r="V291" s="17"/>
      <c r="W291" s="4" t="str">
        <f t="shared" si="2"/>
        <v>,,,,,,,,,,,,,,,,,,,,,12-30-1899</v>
      </c>
      <c r="X291" s="15"/>
      <c r="Y291" s="15"/>
      <c r="Z291" s="15"/>
      <c r="AA291" s="15"/>
      <c r="AB291" s="15"/>
    </row>
    <row r="292" ht="15.75" customHeight="1">
      <c r="A292" s="9" t="str">
        <f>IFERROR(__xludf.DUMMYFUNCTION("if(B292="""","""", REGEXEXTRACT(B292,""(.*)-.*"") &amp; ""-"" &amp; COUNTA($B$2:B292))"),"")</f>
        <v/>
      </c>
      <c r="B292" s="16"/>
      <c r="C292" s="16"/>
      <c r="D292" s="2"/>
      <c r="E292" s="2"/>
      <c r="F292" s="16"/>
      <c r="G292" s="12" t="str">
        <f t="shared" si="1"/>
        <v/>
      </c>
      <c r="H292" s="17"/>
      <c r="I292" s="16"/>
      <c r="J292" s="16"/>
      <c r="K292" s="16"/>
      <c r="L292" s="12"/>
      <c r="M292" s="16"/>
      <c r="N292" s="16"/>
      <c r="O292" s="16"/>
      <c r="P292" s="16"/>
      <c r="Q292" s="16"/>
      <c r="R292" s="16"/>
      <c r="S292" s="16"/>
      <c r="T292" s="2"/>
      <c r="U292" s="2"/>
      <c r="V292" s="17"/>
      <c r="W292" s="4" t="str">
        <f t="shared" si="2"/>
        <v>,,,,,,,,,,,,,,,,,,,,,12-30-1899</v>
      </c>
      <c r="X292" s="15"/>
      <c r="Y292" s="15"/>
      <c r="Z292" s="15"/>
      <c r="AA292" s="15"/>
      <c r="AB292" s="15"/>
    </row>
    <row r="293" ht="15.75" customHeight="1">
      <c r="A293" s="9" t="str">
        <f>IFERROR(__xludf.DUMMYFUNCTION("if(B293="""","""", REGEXEXTRACT(B293,""(.*)-.*"") &amp; ""-"" &amp; COUNTA($B$2:B293))"),"")</f>
        <v/>
      </c>
      <c r="B293" s="16"/>
      <c r="C293" s="16"/>
      <c r="D293" s="2"/>
      <c r="E293" s="2"/>
      <c r="F293" s="16"/>
      <c r="G293" s="12" t="str">
        <f t="shared" si="1"/>
        <v/>
      </c>
      <c r="H293" s="17"/>
      <c r="I293" s="16"/>
      <c r="J293" s="16"/>
      <c r="K293" s="16"/>
      <c r="L293" s="12"/>
      <c r="M293" s="16"/>
      <c r="N293" s="16"/>
      <c r="O293" s="16"/>
      <c r="P293" s="16"/>
      <c r="Q293" s="16"/>
      <c r="R293" s="16"/>
      <c r="S293" s="16"/>
      <c r="T293" s="2"/>
      <c r="U293" s="2"/>
      <c r="V293" s="17"/>
      <c r="W293" s="4" t="str">
        <f t="shared" si="2"/>
        <v>,,,,,,,,,,,,,,,,,,,,,12-30-1899</v>
      </c>
      <c r="X293" s="15"/>
      <c r="Y293" s="15"/>
      <c r="Z293" s="15"/>
      <c r="AA293" s="15"/>
      <c r="AB293" s="15"/>
    </row>
    <row r="294" ht="15.75" customHeight="1">
      <c r="A294" s="9" t="str">
        <f>IFERROR(__xludf.DUMMYFUNCTION("if(B294="""","""", REGEXEXTRACT(B294,""(.*)-.*"") &amp; ""-"" &amp; COUNTA($B$2:B294))"),"")</f>
        <v/>
      </c>
      <c r="B294" s="16"/>
      <c r="C294" s="16"/>
      <c r="D294" s="2"/>
      <c r="E294" s="2"/>
      <c r="F294" s="16"/>
      <c r="G294" s="12" t="str">
        <f t="shared" si="1"/>
        <v/>
      </c>
      <c r="H294" s="17"/>
      <c r="I294" s="16"/>
      <c r="J294" s="16"/>
      <c r="K294" s="16"/>
      <c r="L294" s="12"/>
      <c r="M294" s="16"/>
      <c r="N294" s="16"/>
      <c r="O294" s="16"/>
      <c r="P294" s="16"/>
      <c r="Q294" s="16"/>
      <c r="R294" s="16"/>
      <c r="S294" s="16"/>
      <c r="T294" s="2"/>
      <c r="U294" s="2"/>
      <c r="V294" s="17"/>
      <c r="W294" s="4" t="str">
        <f t="shared" si="2"/>
        <v>,,,,,,,,,,,,,,,,,,,,,12-30-1899</v>
      </c>
      <c r="X294" s="15"/>
      <c r="Y294" s="15"/>
      <c r="Z294" s="15"/>
      <c r="AA294" s="15"/>
      <c r="AB294" s="15"/>
    </row>
    <row r="295" ht="15.75" customHeight="1">
      <c r="A295" s="9" t="str">
        <f>IFERROR(__xludf.DUMMYFUNCTION("if(B295="""","""", REGEXEXTRACT(B295,""(.*)-.*"") &amp; ""-"" &amp; COUNTA($B$2:B295))"),"")</f>
        <v/>
      </c>
      <c r="B295" s="16"/>
      <c r="C295" s="16"/>
      <c r="D295" s="2"/>
      <c r="E295" s="2"/>
      <c r="F295" s="16"/>
      <c r="G295" s="12" t="str">
        <f t="shared" si="1"/>
        <v/>
      </c>
      <c r="H295" s="17"/>
      <c r="I295" s="16"/>
      <c r="J295" s="16"/>
      <c r="K295" s="16"/>
      <c r="L295" s="12"/>
      <c r="M295" s="16"/>
      <c r="N295" s="16"/>
      <c r="O295" s="16"/>
      <c r="P295" s="16"/>
      <c r="Q295" s="16"/>
      <c r="R295" s="16"/>
      <c r="S295" s="16"/>
      <c r="T295" s="2"/>
      <c r="U295" s="2"/>
      <c r="V295" s="17"/>
      <c r="W295" s="4" t="str">
        <f t="shared" si="2"/>
        <v>,,,,,,,,,,,,,,,,,,,,,12-30-1899</v>
      </c>
      <c r="X295" s="15"/>
      <c r="Y295" s="15"/>
      <c r="Z295" s="15"/>
      <c r="AA295" s="15"/>
      <c r="AB295" s="15"/>
    </row>
    <row r="296" ht="15.75" customHeight="1">
      <c r="A296" s="9" t="str">
        <f>IFERROR(__xludf.DUMMYFUNCTION("if(B296="""","""", REGEXEXTRACT(B296,""(.*)-.*"") &amp; ""-"" &amp; COUNTA($B$2:B296))"),"")</f>
        <v/>
      </c>
      <c r="B296" s="16"/>
      <c r="C296" s="16"/>
      <c r="D296" s="2"/>
      <c r="E296" s="2"/>
      <c r="F296" s="16"/>
      <c r="G296" s="12" t="str">
        <f t="shared" si="1"/>
        <v/>
      </c>
      <c r="H296" s="17"/>
      <c r="I296" s="16"/>
      <c r="J296" s="16"/>
      <c r="K296" s="16"/>
      <c r="L296" s="12"/>
      <c r="M296" s="16"/>
      <c r="N296" s="16"/>
      <c r="O296" s="16"/>
      <c r="P296" s="16"/>
      <c r="Q296" s="16"/>
      <c r="R296" s="16"/>
      <c r="S296" s="16"/>
      <c r="T296" s="2"/>
      <c r="U296" s="2"/>
      <c r="V296" s="17"/>
      <c r="W296" s="4" t="str">
        <f t="shared" si="2"/>
        <v>,,,,,,,,,,,,,,,,,,,,,12-30-1899</v>
      </c>
      <c r="X296" s="15"/>
      <c r="Y296" s="15"/>
      <c r="Z296" s="15"/>
      <c r="AA296" s="15"/>
      <c r="AB296" s="15"/>
    </row>
    <row r="297" ht="15.75" customHeight="1">
      <c r="A297" s="9" t="str">
        <f>IFERROR(__xludf.DUMMYFUNCTION("if(B297="""","""", REGEXEXTRACT(B297,""(.*)-.*"") &amp; ""-"" &amp; COUNTA($B$2:B297))"),"")</f>
        <v/>
      </c>
      <c r="B297" s="16"/>
      <c r="C297" s="16"/>
      <c r="D297" s="2"/>
      <c r="E297" s="2"/>
      <c r="F297" s="16"/>
      <c r="G297" s="12" t="str">
        <f t="shared" si="1"/>
        <v/>
      </c>
      <c r="H297" s="17"/>
      <c r="I297" s="16"/>
      <c r="J297" s="16"/>
      <c r="K297" s="16"/>
      <c r="L297" s="12"/>
      <c r="M297" s="16"/>
      <c r="N297" s="16"/>
      <c r="O297" s="16"/>
      <c r="P297" s="16"/>
      <c r="Q297" s="16"/>
      <c r="R297" s="16"/>
      <c r="S297" s="16"/>
      <c r="T297" s="2"/>
      <c r="U297" s="2"/>
      <c r="V297" s="17"/>
      <c r="W297" s="4" t="str">
        <f t="shared" si="2"/>
        <v>,,,,,,,,,,,,,,,,,,,,,12-30-1899</v>
      </c>
      <c r="X297" s="15"/>
      <c r="Y297" s="15"/>
      <c r="Z297" s="15"/>
      <c r="AA297" s="15"/>
      <c r="AB297" s="15"/>
    </row>
    <row r="298" ht="15.75" customHeight="1">
      <c r="A298" s="9" t="str">
        <f>IFERROR(__xludf.DUMMYFUNCTION("if(B298="""","""", REGEXEXTRACT(B298,""(.*)-.*"") &amp; ""-"" &amp; COUNTA($B$2:B298))"),"")</f>
        <v/>
      </c>
      <c r="B298" s="16"/>
      <c r="C298" s="16"/>
      <c r="D298" s="2"/>
      <c r="E298" s="2"/>
      <c r="F298" s="16"/>
      <c r="G298" s="12" t="str">
        <f t="shared" si="1"/>
        <v/>
      </c>
      <c r="H298" s="17"/>
      <c r="I298" s="16"/>
      <c r="J298" s="16"/>
      <c r="K298" s="16"/>
      <c r="L298" s="12"/>
      <c r="M298" s="16"/>
      <c r="N298" s="16"/>
      <c r="O298" s="16"/>
      <c r="P298" s="16"/>
      <c r="Q298" s="16"/>
      <c r="R298" s="16"/>
      <c r="S298" s="16"/>
      <c r="T298" s="2"/>
      <c r="U298" s="2"/>
      <c r="V298" s="17"/>
      <c r="W298" s="4" t="str">
        <f t="shared" si="2"/>
        <v>,,,,,,,,,,,,,,,,,,,,,12-30-1899</v>
      </c>
      <c r="X298" s="15"/>
      <c r="Y298" s="15"/>
      <c r="Z298" s="15"/>
      <c r="AA298" s="15"/>
      <c r="AB298" s="15"/>
    </row>
    <row r="299" ht="15.75" customHeight="1">
      <c r="A299" s="9" t="str">
        <f>IFERROR(__xludf.DUMMYFUNCTION("if(B299="""","""", REGEXEXTRACT(B299,""(.*)-.*"") &amp; ""-"" &amp; COUNTA($B$2:B299))"),"")</f>
        <v/>
      </c>
      <c r="B299" s="16"/>
      <c r="C299" s="16"/>
      <c r="D299" s="2"/>
      <c r="E299" s="2"/>
      <c r="F299" s="16"/>
      <c r="G299" s="12" t="str">
        <f t="shared" si="1"/>
        <v/>
      </c>
      <c r="H299" s="17"/>
      <c r="I299" s="16"/>
      <c r="J299" s="16"/>
      <c r="K299" s="16"/>
      <c r="L299" s="12"/>
      <c r="M299" s="16"/>
      <c r="N299" s="16"/>
      <c r="O299" s="16"/>
      <c r="P299" s="16"/>
      <c r="Q299" s="16"/>
      <c r="R299" s="16"/>
      <c r="S299" s="16"/>
      <c r="T299" s="2"/>
      <c r="U299" s="2"/>
      <c r="V299" s="17"/>
      <c r="W299" s="4" t="str">
        <f t="shared" si="2"/>
        <v>,,,,,,,,,,,,,,,,,,,,,12-30-1899</v>
      </c>
      <c r="X299" s="15"/>
      <c r="Y299" s="15"/>
      <c r="Z299" s="15"/>
      <c r="AA299" s="15"/>
      <c r="AB299" s="15"/>
    </row>
    <row r="300" ht="15.75" customHeight="1">
      <c r="A300" s="9" t="str">
        <f>IFERROR(__xludf.DUMMYFUNCTION("if(B300="""","""", REGEXEXTRACT(B300,""(.*)-.*"") &amp; ""-"" &amp; COUNTA($B$2:B300))"),"")</f>
        <v/>
      </c>
      <c r="B300" s="16"/>
      <c r="C300" s="16"/>
      <c r="D300" s="2"/>
      <c r="E300" s="2"/>
      <c r="F300" s="16"/>
      <c r="G300" s="12" t="str">
        <f t="shared" si="1"/>
        <v/>
      </c>
      <c r="H300" s="17"/>
      <c r="I300" s="16"/>
      <c r="J300" s="16"/>
      <c r="K300" s="16"/>
      <c r="L300" s="12"/>
      <c r="M300" s="16"/>
      <c r="N300" s="16"/>
      <c r="O300" s="16"/>
      <c r="P300" s="16"/>
      <c r="Q300" s="16"/>
      <c r="R300" s="16"/>
      <c r="S300" s="16"/>
      <c r="T300" s="2"/>
      <c r="U300" s="2"/>
      <c r="V300" s="17"/>
      <c r="W300" s="4" t="str">
        <f t="shared" si="2"/>
        <v>,,,,,,,,,,,,,,,,,,,,,12-30-1899</v>
      </c>
      <c r="X300" s="15"/>
      <c r="Y300" s="15"/>
      <c r="Z300" s="15"/>
      <c r="AA300" s="15"/>
      <c r="AB300" s="15"/>
    </row>
    <row r="301" ht="15.75" customHeight="1">
      <c r="A301" s="9" t="str">
        <f>IFERROR(__xludf.DUMMYFUNCTION("if(B301="""","""", REGEXEXTRACT(B301,""(.*)-.*"") &amp; ""-"" &amp; COUNTA($B$2:B301))"),"")</f>
        <v/>
      </c>
      <c r="B301" s="16"/>
      <c r="C301" s="16"/>
      <c r="D301" s="2"/>
      <c r="E301" s="2"/>
      <c r="F301" s="16"/>
      <c r="G301" s="12" t="str">
        <f t="shared" si="1"/>
        <v/>
      </c>
      <c r="H301" s="17"/>
      <c r="I301" s="16"/>
      <c r="J301" s="16"/>
      <c r="K301" s="16"/>
      <c r="L301" s="12"/>
      <c r="M301" s="16"/>
      <c r="N301" s="16"/>
      <c r="O301" s="16"/>
      <c r="P301" s="16"/>
      <c r="Q301" s="16"/>
      <c r="R301" s="16"/>
      <c r="S301" s="16"/>
      <c r="T301" s="2"/>
      <c r="U301" s="2"/>
      <c r="V301" s="17"/>
      <c r="W301" s="4" t="str">
        <f t="shared" si="2"/>
        <v>,,,,,,,,,,,,,,,,,,,,,12-30-1899</v>
      </c>
      <c r="X301" s="15"/>
      <c r="Y301" s="15"/>
      <c r="Z301" s="15"/>
      <c r="AA301" s="15"/>
      <c r="AB301" s="15"/>
    </row>
    <row r="302" ht="15.75" customHeight="1">
      <c r="A302" s="9" t="str">
        <f>IFERROR(__xludf.DUMMYFUNCTION("if(B302="""","""", REGEXEXTRACT(B302,""(.*)-.*"") &amp; ""-"" &amp; COUNTA($B$2:B302))"),"")</f>
        <v/>
      </c>
      <c r="B302" s="16"/>
      <c r="C302" s="16"/>
      <c r="D302" s="2"/>
      <c r="E302" s="2"/>
      <c r="F302" s="16"/>
      <c r="G302" s="12" t="str">
        <f t="shared" si="1"/>
        <v/>
      </c>
      <c r="H302" s="17"/>
      <c r="I302" s="16"/>
      <c r="J302" s="16"/>
      <c r="K302" s="16"/>
      <c r="L302" s="12"/>
      <c r="M302" s="16"/>
      <c r="N302" s="16"/>
      <c r="O302" s="16"/>
      <c r="P302" s="16"/>
      <c r="Q302" s="16"/>
      <c r="R302" s="16"/>
      <c r="S302" s="16"/>
      <c r="T302" s="2"/>
      <c r="U302" s="2"/>
      <c r="V302" s="17"/>
      <c r="W302" s="4" t="str">
        <f t="shared" si="2"/>
        <v>,,,,,,,,,,,,,,,,,,,,,12-30-1899</v>
      </c>
      <c r="X302" s="15"/>
      <c r="Y302" s="15"/>
      <c r="Z302" s="15"/>
      <c r="AA302" s="15"/>
      <c r="AB302" s="15"/>
    </row>
    <row r="303" ht="15.75" customHeight="1">
      <c r="A303" s="9" t="str">
        <f>IFERROR(__xludf.DUMMYFUNCTION("if(B303="""","""", REGEXEXTRACT(B303,""(.*)-.*"") &amp; ""-"" &amp; COUNTA($B$2:B303))"),"")</f>
        <v/>
      </c>
      <c r="B303" s="16"/>
      <c r="C303" s="16"/>
      <c r="D303" s="2"/>
      <c r="E303" s="2"/>
      <c r="F303" s="16"/>
      <c r="G303" s="12" t="str">
        <f t="shared" si="1"/>
        <v/>
      </c>
      <c r="H303" s="17"/>
      <c r="I303" s="16"/>
      <c r="J303" s="16"/>
      <c r="K303" s="16"/>
      <c r="L303" s="12"/>
      <c r="M303" s="16"/>
      <c r="N303" s="16"/>
      <c r="O303" s="16"/>
      <c r="P303" s="16"/>
      <c r="Q303" s="16"/>
      <c r="R303" s="16"/>
      <c r="S303" s="16"/>
      <c r="T303" s="2"/>
      <c r="U303" s="2"/>
      <c r="V303" s="17"/>
      <c r="W303" s="4" t="str">
        <f t="shared" si="2"/>
        <v>,,,,,,,,,,,,,,,,,,,,,12-30-1899</v>
      </c>
      <c r="X303" s="15"/>
      <c r="Y303" s="15"/>
      <c r="Z303" s="15"/>
      <c r="AA303" s="15"/>
      <c r="AB303" s="15"/>
    </row>
    <row r="304" ht="15.75" customHeight="1">
      <c r="A304" s="9" t="str">
        <f>IFERROR(__xludf.DUMMYFUNCTION("if(B304="""","""", REGEXEXTRACT(B304,""(.*)-.*"") &amp; ""-"" &amp; COUNTA($B$2:B304))"),"")</f>
        <v/>
      </c>
      <c r="B304" s="16"/>
      <c r="C304" s="16"/>
      <c r="D304" s="2"/>
      <c r="E304" s="2"/>
      <c r="F304" s="16"/>
      <c r="G304" s="12" t="str">
        <f t="shared" si="1"/>
        <v/>
      </c>
      <c r="H304" s="17"/>
      <c r="I304" s="16"/>
      <c r="J304" s="16"/>
      <c r="K304" s="16"/>
      <c r="L304" s="12"/>
      <c r="M304" s="16"/>
      <c r="N304" s="16"/>
      <c r="O304" s="16"/>
      <c r="P304" s="16"/>
      <c r="Q304" s="16"/>
      <c r="R304" s="16"/>
      <c r="S304" s="16"/>
      <c r="T304" s="2"/>
      <c r="U304" s="2"/>
      <c r="V304" s="17"/>
      <c r="W304" s="4" t="str">
        <f t="shared" si="2"/>
        <v>,,,,,,,,,,,,,,,,,,,,,12-30-1899</v>
      </c>
      <c r="X304" s="15"/>
      <c r="Y304" s="15"/>
      <c r="Z304" s="15"/>
      <c r="AA304" s="15"/>
      <c r="AB304" s="15"/>
    </row>
    <row r="305" ht="15.75" customHeight="1">
      <c r="A305" s="9" t="str">
        <f>IFERROR(__xludf.DUMMYFUNCTION("if(B305="""","""", REGEXEXTRACT(B305,""(.*)-.*"") &amp; ""-"" &amp; COUNTA($B$2:B305))"),"")</f>
        <v/>
      </c>
      <c r="B305" s="16"/>
      <c r="C305" s="16"/>
      <c r="D305" s="2"/>
      <c r="E305" s="2"/>
      <c r="F305" s="16"/>
      <c r="G305" s="12" t="str">
        <f t="shared" si="1"/>
        <v/>
      </c>
      <c r="H305" s="17"/>
      <c r="I305" s="16"/>
      <c r="J305" s="16"/>
      <c r="K305" s="16"/>
      <c r="L305" s="12"/>
      <c r="M305" s="16"/>
      <c r="N305" s="16"/>
      <c r="O305" s="16"/>
      <c r="P305" s="16"/>
      <c r="Q305" s="16"/>
      <c r="R305" s="16"/>
      <c r="S305" s="16"/>
      <c r="T305" s="2"/>
      <c r="U305" s="2"/>
      <c r="V305" s="17"/>
      <c r="W305" s="4" t="str">
        <f t="shared" si="2"/>
        <v>,,,,,,,,,,,,,,,,,,,,,12-30-1899</v>
      </c>
      <c r="X305" s="15"/>
      <c r="Y305" s="15"/>
      <c r="Z305" s="15"/>
      <c r="AA305" s="15"/>
      <c r="AB305" s="15"/>
    </row>
    <row r="306" ht="15.75" customHeight="1">
      <c r="A306" s="9" t="str">
        <f>IFERROR(__xludf.DUMMYFUNCTION("if(B306="""","""", REGEXEXTRACT(B306,""(.*)-.*"") &amp; ""-"" &amp; COUNTA($B$2:B306))"),"")</f>
        <v/>
      </c>
      <c r="B306" s="16"/>
      <c r="C306" s="16"/>
      <c r="D306" s="2"/>
      <c r="E306" s="2"/>
      <c r="F306" s="16"/>
      <c r="G306" s="12" t="str">
        <f t="shared" si="1"/>
        <v/>
      </c>
      <c r="H306" s="17"/>
      <c r="I306" s="16"/>
      <c r="J306" s="16"/>
      <c r="K306" s="16"/>
      <c r="L306" s="12"/>
      <c r="M306" s="16"/>
      <c r="N306" s="16"/>
      <c r="O306" s="16"/>
      <c r="P306" s="16"/>
      <c r="Q306" s="16"/>
      <c r="R306" s="16"/>
      <c r="S306" s="16"/>
      <c r="T306" s="2"/>
      <c r="U306" s="2"/>
      <c r="V306" s="17"/>
      <c r="W306" s="4" t="str">
        <f t="shared" si="2"/>
        <v>,,,,,,,,,,,,,,,,,,,,,12-30-1899</v>
      </c>
      <c r="X306" s="15"/>
      <c r="Y306" s="15"/>
      <c r="Z306" s="15"/>
      <c r="AA306" s="15"/>
      <c r="AB306" s="15"/>
    </row>
    <row r="307" ht="15.75" customHeight="1">
      <c r="A307" s="9" t="str">
        <f>IFERROR(__xludf.DUMMYFUNCTION("if(B307="""","""", REGEXEXTRACT(B307,""(.*)-.*"") &amp; ""-"" &amp; COUNTA($B$2:B307))"),"")</f>
        <v/>
      </c>
      <c r="B307" s="16"/>
      <c r="C307" s="16"/>
      <c r="D307" s="2"/>
      <c r="E307" s="2"/>
      <c r="F307" s="16"/>
      <c r="G307" s="12" t="str">
        <f t="shared" si="1"/>
        <v/>
      </c>
      <c r="H307" s="17"/>
      <c r="I307" s="16"/>
      <c r="J307" s="16"/>
      <c r="K307" s="16"/>
      <c r="L307" s="12"/>
      <c r="M307" s="16"/>
      <c r="N307" s="16"/>
      <c r="O307" s="16"/>
      <c r="P307" s="16"/>
      <c r="Q307" s="16"/>
      <c r="R307" s="16"/>
      <c r="S307" s="16"/>
      <c r="T307" s="2"/>
      <c r="U307" s="2"/>
      <c r="V307" s="17"/>
      <c r="W307" s="4" t="str">
        <f t="shared" si="2"/>
        <v>,,,,,,,,,,,,,,,,,,,,,12-30-1899</v>
      </c>
      <c r="X307" s="15"/>
      <c r="Y307" s="15"/>
      <c r="Z307" s="15"/>
      <c r="AA307" s="15"/>
      <c r="AB307" s="15"/>
    </row>
    <row r="308" ht="15.75" customHeight="1">
      <c r="A308" s="9" t="str">
        <f>IFERROR(__xludf.DUMMYFUNCTION("if(B308="""","""", REGEXEXTRACT(B308,""(.*)-.*"") &amp; ""-"" &amp; COUNTA($B$2:B308))"),"")</f>
        <v/>
      </c>
      <c r="B308" s="16"/>
      <c r="C308" s="16"/>
      <c r="D308" s="2"/>
      <c r="E308" s="2"/>
      <c r="F308" s="16"/>
      <c r="G308" s="12" t="str">
        <f t="shared" si="1"/>
        <v/>
      </c>
      <c r="H308" s="17"/>
      <c r="I308" s="16"/>
      <c r="J308" s="16"/>
      <c r="K308" s="16"/>
      <c r="L308" s="12"/>
      <c r="M308" s="16"/>
      <c r="N308" s="16"/>
      <c r="O308" s="16"/>
      <c r="P308" s="16"/>
      <c r="Q308" s="16"/>
      <c r="R308" s="16"/>
      <c r="S308" s="16"/>
      <c r="T308" s="2"/>
      <c r="U308" s="2"/>
      <c r="V308" s="17"/>
      <c r="W308" s="4" t="str">
        <f t="shared" si="2"/>
        <v>,,,,,,,,,,,,,,,,,,,,,12-30-1899</v>
      </c>
      <c r="X308" s="15"/>
      <c r="Y308" s="15"/>
      <c r="Z308" s="15"/>
      <c r="AA308" s="15"/>
      <c r="AB308" s="15"/>
    </row>
    <row r="309" ht="15.75" customHeight="1">
      <c r="A309" s="9" t="str">
        <f>IFERROR(__xludf.DUMMYFUNCTION("if(B309="""","""", REGEXEXTRACT(B309,""(.*)-.*"") &amp; ""-"" &amp; COUNTA($B$2:B309))"),"")</f>
        <v/>
      </c>
      <c r="B309" s="16"/>
      <c r="C309" s="16"/>
      <c r="D309" s="2"/>
      <c r="E309" s="2"/>
      <c r="F309" s="16"/>
      <c r="G309" s="12" t="str">
        <f t="shared" si="1"/>
        <v/>
      </c>
      <c r="H309" s="17"/>
      <c r="I309" s="16"/>
      <c r="J309" s="16"/>
      <c r="K309" s="16"/>
      <c r="L309" s="12"/>
      <c r="M309" s="16"/>
      <c r="N309" s="16"/>
      <c r="O309" s="16"/>
      <c r="P309" s="16"/>
      <c r="Q309" s="16"/>
      <c r="R309" s="16"/>
      <c r="S309" s="16"/>
      <c r="T309" s="2"/>
      <c r="U309" s="2"/>
      <c r="V309" s="17"/>
      <c r="W309" s="4" t="str">
        <f t="shared" si="2"/>
        <v>,,,,,,,,,,,,,,,,,,,,,12-30-1899</v>
      </c>
      <c r="X309" s="15"/>
      <c r="Y309" s="15"/>
      <c r="Z309" s="15"/>
      <c r="AA309" s="15"/>
      <c r="AB309" s="15"/>
    </row>
    <row r="310" ht="15.75" customHeight="1">
      <c r="A310" s="9" t="str">
        <f>IFERROR(__xludf.DUMMYFUNCTION("if(B310="""","""", REGEXEXTRACT(B310,""(.*)-.*"") &amp; ""-"" &amp; COUNTA($B$2:B310))"),"")</f>
        <v/>
      </c>
      <c r="B310" s="16"/>
      <c r="C310" s="16"/>
      <c r="D310" s="2"/>
      <c r="E310" s="2"/>
      <c r="F310" s="16"/>
      <c r="G310" s="12" t="str">
        <f t="shared" si="1"/>
        <v/>
      </c>
      <c r="H310" s="17"/>
      <c r="I310" s="16"/>
      <c r="J310" s="16"/>
      <c r="K310" s="16"/>
      <c r="L310" s="12"/>
      <c r="M310" s="16"/>
      <c r="N310" s="16"/>
      <c r="O310" s="16"/>
      <c r="P310" s="16"/>
      <c r="Q310" s="16"/>
      <c r="R310" s="16"/>
      <c r="S310" s="16"/>
      <c r="T310" s="2"/>
      <c r="U310" s="2"/>
      <c r="V310" s="17"/>
      <c r="W310" s="4" t="str">
        <f t="shared" si="2"/>
        <v>,,,,,,,,,,,,,,,,,,,,,12-30-1899</v>
      </c>
      <c r="X310" s="15"/>
      <c r="Y310" s="15"/>
      <c r="Z310" s="15"/>
      <c r="AA310" s="15"/>
      <c r="AB310" s="15"/>
    </row>
    <row r="311" ht="15.75" customHeight="1">
      <c r="A311" s="9" t="str">
        <f>IFERROR(__xludf.DUMMYFUNCTION("if(B311="""","""", REGEXEXTRACT(B311,""(.*)-.*"") &amp; ""-"" &amp; COUNTA($B$2:B311))"),"")</f>
        <v/>
      </c>
      <c r="B311" s="16"/>
      <c r="C311" s="16"/>
      <c r="D311" s="2"/>
      <c r="E311" s="2"/>
      <c r="F311" s="16"/>
      <c r="G311" s="12" t="str">
        <f t="shared" si="1"/>
        <v/>
      </c>
      <c r="H311" s="17"/>
      <c r="I311" s="16"/>
      <c r="J311" s="16"/>
      <c r="K311" s="16"/>
      <c r="L311" s="12"/>
      <c r="M311" s="16"/>
      <c r="N311" s="16"/>
      <c r="O311" s="16"/>
      <c r="P311" s="16"/>
      <c r="Q311" s="16"/>
      <c r="R311" s="16"/>
      <c r="S311" s="16"/>
      <c r="T311" s="2"/>
      <c r="U311" s="2"/>
      <c r="V311" s="17"/>
      <c r="W311" s="4" t="str">
        <f t="shared" si="2"/>
        <v>,,,,,,,,,,,,,,,,,,,,,12-30-1899</v>
      </c>
      <c r="X311" s="15"/>
      <c r="Y311" s="15"/>
      <c r="Z311" s="15"/>
      <c r="AA311" s="15"/>
      <c r="AB311" s="15"/>
    </row>
    <row r="312" ht="15.75" customHeight="1">
      <c r="A312" s="9" t="str">
        <f>IFERROR(__xludf.DUMMYFUNCTION("if(B312="""","""", REGEXEXTRACT(B312,""(.*)-.*"") &amp; ""-"" &amp; COUNTA($B$2:B312))"),"")</f>
        <v/>
      </c>
      <c r="B312" s="16"/>
      <c r="C312" s="16"/>
      <c r="D312" s="2"/>
      <c r="E312" s="2"/>
      <c r="F312" s="16"/>
      <c r="G312" s="12" t="str">
        <f t="shared" si="1"/>
        <v/>
      </c>
      <c r="H312" s="17"/>
      <c r="I312" s="16"/>
      <c r="J312" s="16"/>
      <c r="K312" s="16"/>
      <c r="L312" s="12"/>
      <c r="M312" s="16"/>
      <c r="N312" s="16"/>
      <c r="O312" s="16"/>
      <c r="P312" s="16"/>
      <c r="Q312" s="16"/>
      <c r="R312" s="16"/>
      <c r="S312" s="16"/>
      <c r="T312" s="2"/>
      <c r="U312" s="2"/>
      <c r="V312" s="17"/>
      <c r="W312" s="4" t="str">
        <f t="shared" si="2"/>
        <v>,,,,,,,,,,,,,,,,,,,,,12-30-1899</v>
      </c>
      <c r="X312" s="15"/>
      <c r="Y312" s="15"/>
      <c r="Z312" s="15"/>
      <c r="AA312" s="15"/>
      <c r="AB312" s="15"/>
    </row>
    <row r="313" ht="15.75" customHeight="1">
      <c r="A313" s="9" t="str">
        <f>IFERROR(__xludf.DUMMYFUNCTION("if(B313="""","""", REGEXEXTRACT(B313,""(.*)-.*"") &amp; ""-"" &amp; COUNTA($B$2:B313))"),"")</f>
        <v/>
      </c>
      <c r="B313" s="16"/>
      <c r="C313" s="16"/>
      <c r="D313" s="2"/>
      <c r="E313" s="2"/>
      <c r="F313" s="16"/>
      <c r="G313" s="12" t="str">
        <f t="shared" si="1"/>
        <v/>
      </c>
      <c r="H313" s="17"/>
      <c r="I313" s="16"/>
      <c r="J313" s="16"/>
      <c r="K313" s="16"/>
      <c r="L313" s="12"/>
      <c r="M313" s="16"/>
      <c r="N313" s="16"/>
      <c r="O313" s="16"/>
      <c r="P313" s="16"/>
      <c r="Q313" s="16"/>
      <c r="R313" s="16"/>
      <c r="S313" s="16"/>
      <c r="T313" s="2"/>
      <c r="U313" s="2"/>
      <c r="V313" s="17"/>
      <c r="W313" s="4" t="str">
        <f t="shared" si="2"/>
        <v>,,,,,,,,,,,,,,,,,,,,,12-30-1899</v>
      </c>
      <c r="X313" s="15"/>
      <c r="Y313" s="15"/>
      <c r="Z313" s="15"/>
      <c r="AA313" s="15"/>
      <c r="AB313" s="15"/>
    </row>
    <row r="314" ht="15.75" customHeight="1">
      <c r="A314" s="9" t="str">
        <f>IFERROR(__xludf.DUMMYFUNCTION("if(B314="""","""", REGEXEXTRACT(B314,""(.*)-.*"") &amp; ""-"" &amp; COUNTA($B$2:B314))"),"")</f>
        <v/>
      </c>
      <c r="B314" s="16"/>
      <c r="C314" s="16"/>
      <c r="D314" s="2"/>
      <c r="E314" s="2"/>
      <c r="F314" s="16"/>
      <c r="G314" s="12" t="str">
        <f t="shared" si="1"/>
        <v/>
      </c>
      <c r="H314" s="17"/>
      <c r="I314" s="16"/>
      <c r="J314" s="16"/>
      <c r="K314" s="16"/>
      <c r="L314" s="12"/>
      <c r="M314" s="16"/>
      <c r="N314" s="16"/>
      <c r="O314" s="16"/>
      <c r="P314" s="16"/>
      <c r="Q314" s="16"/>
      <c r="R314" s="16"/>
      <c r="S314" s="16"/>
      <c r="T314" s="2"/>
      <c r="U314" s="2"/>
      <c r="V314" s="17"/>
      <c r="W314" s="4" t="str">
        <f t="shared" si="2"/>
        <v>,,,,,,,,,,,,,,,,,,,,,12-30-1899</v>
      </c>
      <c r="X314" s="15"/>
      <c r="Y314" s="15"/>
      <c r="Z314" s="15"/>
      <c r="AA314" s="15"/>
      <c r="AB314" s="15"/>
    </row>
    <row r="315" ht="15.75" customHeight="1">
      <c r="A315" s="9" t="str">
        <f>IFERROR(__xludf.DUMMYFUNCTION("if(B315="""","""", REGEXEXTRACT(B315,""(.*)-.*"") &amp; ""-"" &amp; COUNTA($B$2:B315))"),"")</f>
        <v/>
      </c>
      <c r="B315" s="16"/>
      <c r="C315" s="16"/>
      <c r="D315" s="2"/>
      <c r="E315" s="2"/>
      <c r="F315" s="16"/>
      <c r="G315" s="12" t="str">
        <f t="shared" si="1"/>
        <v/>
      </c>
      <c r="H315" s="17"/>
      <c r="I315" s="16"/>
      <c r="J315" s="16"/>
      <c r="K315" s="16"/>
      <c r="L315" s="12"/>
      <c r="M315" s="16"/>
      <c r="N315" s="16"/>
      <c r="O315" s="16"/>
      <c r="P315" s="16"/>
      <c r="Q315" s="16"/>
      <c r="R315" s="16"/>
      <c r="S315" s="16"/>
      <c r="T315" s="2"/>
      <c r="U315" s="2"/>
      <c r="V315" s="17"/>
      <c r="W315" s="4" t="str">
        <f t="shared" si="2"/>
        <v>,,,,,,,,,,,,,,,,,,,,,12-30-1899</v>
      </c>
      <c r="X315" s="15"/>
      <c r="Y315" s="15"/>
      <c r="Z315" s="15"/>
      <c r="AA315" s="15"/>
      <c r="AB315" s="15"/>
    </row>
    <row r="316" ht="15.75" customHeight="1">
      <c r="A316" s="9" t="str">
        <f>IFERROR(__xludf.DUMMYFUNCTION("if(B316="""","""", REGEXEXTRACT(B316,""(.*)-.*"") &amp; ""-"" &amp; COUNTA($B$2:B316))"),"")</f>
        <v/>
      </c>
      <c r="B316" s="16"/>
      <c r="C316" s="16"/>
      <c r="D316" s="2"/>
      <c r="E316" s="2"/>
      <c r="F316" s="16"/>
      <c r="G316" s="12" t="str">
        <f t="shared" si="1"/>
        <v/>
      </c>
      <c r="H316" s="17"/>
      <c r="I316" s="16"/>
      <c r="J316" s="16"/>
      <c r="K316" s="16"/>
      <c r="L316" s="12"/>
      <c r="M316" s="16"/>
      <c r="N316" s="16"/>
      <c r="O316" s="16"/>
      <c r="P316" s="16"/>
      <c r="Q316" s="16"/>
      <c r="R316" s="16"/>
      <c r="S316" s="16"/>
      <c r="T316" s="2"/>
      <c r="U316" s="2"/>
      <c r="V316" s="17"/>
      <c r="W316" s="4" t="str">
        <f t="shared" si="2"/>
        <v>,,,,,,,,,,,,,,,,,,,,,12-30-1899</v>
      </c>
      <c r="X316" s="15"/>
      <c r="Y316" s="15"/>
      <c r="Z316" s="15"/>
      <c r="AA316" s="15"/>
      <c r="AB316" s="15"/>
    </row>
    <row r="317" ht="15.75" customHeight="1">
      <c r="A317" s="9" t="str">
        <f>IFERROR(__xludf.DUMMYFUNCTION("if(B317="""","""", REGEXEXTRACT(B317,""(.*)-.*"") &amp; ""-"" &amp; COUNTA($B$2:B317))"),"")</f>
        <v/>
      </c>
      <c r="B317" s="16"/>
      <c r="C317" s="16"/>
      <c r="D317" s="2"/>
      <c r="E317" s="2"/>
      <c r="F317" s="16"/>
      <c r="G317" s="12" t="str">
        <f t="shared" si="1"/>
        <v/>
      </c>
      <c r="H317" s="17"/>
      <c r="I317" s="16"/>
      <c r="J317" s="16"/>
      <c r="K317" s="16"/>
      <c r="L317" s="12"/>
      <c r="M317" s="16"/>
      <c r="N317" s="16"/>
      <c r="O317" s="16"/>
      <c r="P317" s="16"/>
      <c r="Q317" s="16"/>
      <c r="R317" s="16"/>
      <c r="S317" s="16"/>
      <c r="T317" s="2"/>
      <c r="U317" s="2"/>
      <c r="V317" s="17"/>
      <c r="W317" s="4" t="str">
        <f t="shared" si="2"/>
        <v>,,,,,,,,,,,,,,,,,,,,,12-30-1899</v>
      </c>
      <c r="X317" s="15"/>
      <c r="Y317" s="15"/>
      <c r="Z317" s="15"/>
      <c r="AA317" s="15"/>
      <c r="AB317" s="15"/>
    </row>
    <row r="318" ht="15.75" customHeight="1">
      <c r="A318" s="9" t="str">
        <f>IFERROR(__xludf.DUMMYFUNCTION("if(B318="""","""", REGEXEXTRACT(B318,""(.*)-.*"") &amp; ""-"" &amp; COUNTA($B$2:B318))"),"")</f>
        <v/>
      </c>
      <c r="B318" s="16"/>
      <c r="C318" s="16"/>
      <c r="D318" s="2"/>
      <c r="E318" s="2"/>
      <c r="F318" s="16"/>
      <c r="G318" s="12" t="str">
        <f t="shared" si="1"/>
        <v/>
      </c>
      <c r="H318" s="17"/>
      <c r="I318" s="16"/>
      <c r="J318" s="16"/>
      <c r="K318" s="16"/>
      <c r="L318" s="12"/>
      <c r="M318" s="16"/>
      <c r="N318" s="16"/>
      <c r="O318" s="16"/>
      <c r="P318" s="16"/>
      <c r="Q318" s="16"/>
      <c r="R318" s="16"/>
      <c r="S318" s="16"/>
      <c r="T318" s="2"/>
      <c r="U318" s="2"/>
      <c r="V318" s="17"/>
      <c r="W318" s="4" t="str">
        <f t="shared" si="2"/>
        <v>,,,,,,,,,,,,,,,,,,,,,12-30-1899</v>
      </c>
      <c r="X318" s="15"/>
      <c r="Y318" s="15"/>
      <c r="Z318" s="15"/>
      <c r="AA318" s="15"/>
      <c r="AB318" s="15"/>
    </row>
    <row r="319" ht="15.75" customHeight="1">
      <c r="A319" s="9" t="str">
        <f>IFERROR(__xludf.DUMMYFUNCTION("if(B319="""","""", REGEXEXTRACT(B319,""(.*)-.*"") &amp; ""-"" &amp; COUNTA($B$2:B319))"),"")</f>
        <v/>
      </c>
      <c r="B319" s="16"/>
      <c r="C319" s="16"/>
      <c r="D319" s="2"/>
      <c r="E319" s="2"/>
      <c r="F319" s="16"/>
      <c r="G319" s="12" t="str">
        <f t="shared" si="1"/>
        <v/>
      </c>
      <c r="H319" s="17"/>
      <c r="I319" s="16"/>
      <c r="J319" s="16"/>
      <c r="K319" s="16"/>
      <c r="L319" s="12"/>
      <c r="M319" s="16"/>
      <c r="N319" s="16"/>
      <c r="O319" s="16"/>
      <c r="P319" s="16"/>
      <c r="Q319" s="16"/>
      <c r="R319" s="16"/>
      <c r="S319" s="16"/>
      <c r="T319" s="2"/>
      <c r="U319" s="2"/>
      <c r="V319" s="17"/>
      <c r="W319" s="4" t="str">
        <f t="shared" si="2"/>
        <v>,,,,,,,,,,,,,,,,,,,,,12-30-1899</v>
      </c>
      <c r="X319" s="15"/>
      <c r="Y319" s="15"/>
      <c r="Z319" s="15"/>
      <c r="AA319" s="15"/>
      <c r="AB319" s="15"/>
    </row>
    <row r="320" ht="15.75" customHeight="1">
      <c r="A320" s="9" t="str">
        <f>IFERROR(__xludf.DUMMYFUNCTION("if(B320="""","""", REGEXEXTRACT(B320,""(.*)-.*"") &amp; ""-"" &amp; COUNTA($B$2:B320))"),"")</f>
        <v/>
      </c>
      <c r="B320" s="16"/>
      <c r="C320" s="16"/>
      <c r="D320" s="2"/>
      <c r="E320" s="2"/>
      <c r="F320" s="16"/>
      <c r="G320" s="12" t="str">
        <f t="shared" si="1"/>
        <v/>
      </c>
      <c r="H320" s="17"/>
      <c r="I320" s="16"/>
      <c r="J320" s="16"/>
      <c r="K320" s="16"/>
      <c r="L320" s="12"/>
      <c r="M320" s="16"/>
      <c r="N320" s="16"/>
      <c r="O320" s="16"/>
      <c r="P320" s="16"/>
      <c r="Q320" s="16"/>
      <c r="R320" s="16"/>
      <c r="S320" s="16"/>
      <c r="T320" s="2"/>
      <c r="U320" s="2"/>
      <c r="V320" s="17"/>
      <c r="W320" s="4" t="str">
        <f t="shared" si="2"/>
        <v>,,,,,,,,,,,,,,,,,,,,,12-30-1899</v>
      </c>
      <c r="X320" s="15"/>
      <c r="Y320" s="15"/>
      <c r="Z320" s="15"/>
      <c r="AA320" s="15"/>
      <c r="AB320" s="15"/>
    </row>
    <row r="321" ht="15.75" customHeight="1">
      <c r="A321" s="9" t="str">
        <f>IFERROR(__xludf.DUMMYFUNCTION("if(B321="""","""", REGEXEXTRACT(B321,""(.*)-.*"") &amp; ""-"" &amp; COUNTA($B$2:B321))"),"")</f>
        <v/>
      </c>
      <c r="B321" s="16"/>
      <c r="C321" s="16"/>
      <c r="D321" s="2"/>
      <c r="E321" s="2"/>
      <c r="F321" s="16"/>
      <c r="G321" s="12" t="str">
        <f t="shared" si="1"/>
        <v/>
      </c>
      <c r="H321" s="17"/>
      <c r="I321" s="16"/>
      <c r="J321" s="16"/>
      <c r="K321" s="16"/>
      <c r="L321" s="12"/>
      <c r="M321" s="16"/>
      <c r="N321" s="16"/>
      <c r="O321" s="16"/>
      <c r="P321" s="16"/>
      <c r="Q321" s="16"/>
      <c r="R321" s="16"/>
      <c r="S321" s="16"/>
      <c r="T321" s="2"/>
      <c r="U321" s="2"/>
      <c r="V321" s="17"/>
      <c r="W321" s="4" t="str">
        <f t="shared" si="2"/>
        <v>,,,,,,,,,,,,,,,,,,,,,12-30-1899</v>
      </c>
      <c r="X321" s="15"/>
      <c r="Y321" s="15"/>
      <c r="Z321" s="15"/>
      <c r="AA321" s="15"/>
      <c r="AB321" s="15"/>
    </row>
    <row r="322" ht="15.75" customHeight="1">
      <c r="A322" s="9" t="str">
        <f>IFERROR(__xludf.DUMMYFUNCTION("if(B322="""","""", REGEXEXTRACT(B322,""(.*)-.*"") &amp; ""-"" &amp; COUNTA($B$2:B322))"),"")</f>
        <v/>
      </c>
      <c r="B322" s="16"/>
      <c r="C322" s="16"/>
      <c r="D322" s="2"/>
      <c r="E322" s="2"/>
      <c r="F322" s="16"/>
      <c r="G322" s="12" t="str">
        <f t="shared" si="1"/>
        <v/>
      </c>
      <c r="H322" s="17"/>
      <c r="I322" s="16"/>
      <c r="J322" s="16"/>
      <c r="K322" s="16"/>
      <c r="L322" s="12"/>
      <c r="M322" s="16"/>
      <c r="N322" s="16"/>
      <c r="O322" s="16"/>
      <c r="P322" s="16"/>
      <c r="Q322" s="16"/>
      <c r="R322" s="16"/>
      <c r="S322" s="16"/>
      <c r="T322" s="2"/>
      <c r="U322" s="2"/>
      <c r="V322" s="17"/>
      <c r="W322" s="4" t="str">
        <f t="shared" si="2"/>
        <v>,,,,,,,,,,,,,,,,,,,,,12-30-1899</v>
      </c>
      <c r="X322" s="15"/>
      <c r="Y322" s="15"/>
      <c r="Z322" s="15"/>
      <c r="AA322" s="15"/>
      <c r="AB322" s="15"/>
    </row>
    <row r="323" ht="15.75" customHeight="1">
      <c r="A323" s="9" t="str">
        <f>IFERROR(__xludf.DUMMYFUNCTION("if(B323="""","""", REGEXEXTRACT(B323,""(.*)-.*"") &amp; ""-"" &amp; COUNTA($B$2:B323))"),"")</f>
        <v/>
      </c>
      <c r="B323" s="16"/>
      <c r="C323" s="16"/>
      <c r="D323" s="2"/>
      <c r="E323" s="2"/>
      <c r="F323" s="16"/>
      <c r="G323" s="12" t="str">
        <f t="shared" si="1"/>
        <v/>
      </c>
      <c r="H323" s="17"/>
      <c r="I323" s="16"/>
      <c r="J323" s="16"/>
      <c r="K323" s="16"/>
      <c r="L323" s="12"/>
      <c r="M323" s="16"/>
      <c r="N323" s="16"/>
      <c r="O323" s="16"/>
      <c r="P323" s="16"/>
      <c r="Q323" s="16"/>
      <c r="R323" s="16"/>
      <c r="S323" s="16"/>
      <c r="T323" s="2"/>
      <c r="U323" s="2"/>
      <c r="V323" s="17"/>
      <c r="W323" s="4" t="str">
        <f t="shared" si="2"/>
        <v>,,,,,,,,,,,,,,,,,,,,,12-30-1899</v>
      </c>
      <c r="X323" s="15"/>
      <c r="Y323" s="15"/>
      <c r="Z323" s="15"/>
      <c r="AA323" s="15"/>
      <c r="AB323" s="15"/>
    </row>
    <row r="324" ht="15.75" customHeight="1">
      <c r="A324" s="9" t="str">
        <f>IFERROR(__xludf.DUMMYFUNCTION("if(B324="""","""", REGEXEXTRACT(B324,""(.*)-.*"") &amp; ""-"" &amp; COUNTA($B$2:B324))"),"")</f>
        <v/>
      </c>
      <c r="B324" s="16"/>
      <c r="C324" s="16"/>
      <c r="D324" s="2"/>
      <c r="E324" s="2"/>
      <c r="F324" s="16"/>
      <c r="G324" s="12" t="str">
        <f t="shared" si="1"/>
        <v/>
      </c>
      <c r="H324" s="17"/>
      <c r="I324" s="16"/>
      <c r="J324" s="16"/>
      <c r="K324" s="16"/>
      <c r="L324" s="12"/>
      <c r="M324" s="16"/>
      <c r="N324" s="16"/>
      <c r="O324" s="16"/>
      <c r="P324" s="16"/>
      <c r="Q324" s="16"/>
      <c r="R324" s="16"/>
      <c r="S324" s="16"/>
      <c r="T324" s="2"/>
      <c r="U324" s="2"/>
      <c r="V324" s="17"/>
      <c r="W324" s="4" t="str">
        <f t="shared" si="2"/>
        <v>,,,,,,,,,,,,,,,,,,,,,12-30-1899</v>
      </c>
      <c r="X324" s="15"/>
      <c r="Y324" s="15"/>
      <c r="Z324" s="15"/>
      <c r="AA324" s="15"/>
      <c r="AB324" s="15"/>
    </row>
    <row r="325" ht="15.75" customHeight="1">
      <c r="A325" s="9" t="str">
        <f>IFERROR(__xludf.DUMMYFUNCTION("if(B325="""","""", REGEXEXTRACT(B325,""(.*)-.*"") &amp; ""-"" &amp; COUNTA($B$2:B325))"),"")</f>
        <v/>
      </c>
      <c r="B325" s="16"/>
      <c r="C325" s="16"/>
      <c r="D325" s="2"/>
      <c r="E325" s="2"/>
      <c r="F325" s="16"/>
      <c r="G325" s="12" t="str">
        <f t="shared" si="1"/>
        <v/>
      </c>
      <c r="H325" s="17"/>
      <c r="I325" s="16"/>
      <c r="J325" s="16"/>
      <c r="K325" s="16"/>
      <c r="L325" s="12"/>
      <c r="M325" s="16"/>
      <c r="N325" s="16"/>
      <c r="O325" s="16"/>
      <c r="P325" s="16"/>
      <c r="Q325" s="16"/>
      <c r="R325" s="16"/>
      <c r="S325" s="16"/>
      <c r="T325" s="2"/>
      <c r="U325" s="2"/>
      <c r="V325" s="17"/>
      <c r="W325" s="4" t="str">
        <f t="shared" si="2"/>
        <v>,,,,,,,,,,,,,,,,,,,,,12-30-1899</v>
      </c>
      <c r="X325" s="15"/>
      <c r="Y325" s="15"/>
      <c r="Z325" s="15"/>
      <c r="AA325" s="15"/>
      <c r="AB325" s="15"/>
    </row>
    <row r="326" ht="15.75" customHeight="1">
      <c r="A326" s="9" t="str">
        <f>IFERROR(__xludf.DUMMYFUNCTION("if(B326="""","""", REGEXEXTRACT(B326,""(.*)-.*"") &amp; ""-"" &amp; COUNTA($B$2:B326))"),"")</f>
        <v/>
      </c>
      <c r="B326" s="16"/>
      <c r="C326" s="16"/>
      <c r="D326" s="2"/>
      <c r="E326" s="2"/>
      <c r="F326" s="16"/>
      <c r="G326" s="12" t="str">
        <f t="shared" si="1"/>
        <v/>
      </c>
      <c r="H326" s="17"/>
      <c r="I326" s="16"/>
      <c r="J326" s="16"/>
      <c r="K326" s="16"/>
      <c r="L326" s="12"/>
      <c r="M326" s="16"/>
      <c r="N326" s="16"/>
      <c r="O326" s="16"/>
      <c r="P326" s="16"/>
      <c r="Q326" s="16"/>
      <c r="R326" s="16"/>
      <c r="S326" s="16"/>
      <c r="T326" s="2"/>
      <c r="U326" s="2"/>
      <c r="V326" s="17"/>
      <c r="W326" s="4" t="str">
        <f t="shared" si="2"/>
        <v>,,,,,,,,,,,,,,,,,,,,,12-30-1899</v>
      </c>
      <c r="X326" s="15"/>
      <c r="Y326" s="15"/>
      <c r="Z326" s="15"/>
      <c r="AA326" s="15"/>
      <c r="AB326" s="15"/>
    </row>
    <row r="327" ht="15.75" customHeight="1">
      <c r="A327" s="9" t="str">
        <f>IFERROR(__xludf.DUMMYFUNCTION("if(B327="""","""", REGEXEXTRACT(B327,""(.*)-.*"") &amp; ""-"" &amp; COUNTA($B$2:B327))"),"")</f>
        <v/>
      </c>
      <c r="B327" s="16"/>
      <c r="C327" s="16"/>
      <c r="D327" s="2"/>
      <c r="E327" s="2"/>
      <c r="F327" s="16"/>
      <c r="G327" s="12" t="str">
        <f t="shared" si="1"/>
        <v/>
      </c>
      <c r="H327" s="17"/>
      <c r="I327" s="16"/>
      <c r="J327" s="16"/>
      <c r="K327" s="16"/>
      <c r="L327" s="12"/>
      <c r="M327" s="16"/>
      <c r="N327" s="16"/>
      <c r="O327" s="16"/>
      <c r="P327" s="16"/>
      <c r="Q327" s="16"/>
      <c r="R327" s="16"/>
      <c r="S327" s="16"/>
      <c r="T327" s="2"/>
      <c r="U327" s="2"/>
      <c r="V327" s="17"/>
      <c r="W327" s="4" t="str">
        <f t="shared" si="2"/>
        <v>,,,,,,,,,,,,,,,,,,,,,12-30-1899</v>
      </c>
      <c r="X327" s="15"/>
      <c r="Y327" s="15"/>
      <c r="Z327" s="15"/>
      <c r="AA327" s="15"/>
      <c r="AB327" s="15"/>
    </row>
    <row r="328" ht="15.75" customHeight="1">
      <c r="A328" s="9" t="str">
        <f>IFERROR(__xludf.DUMMYFUNCTION("if(B328="""","""", REGEXEXTRACT(B328,""(.*)-.*"") &amp; ""-"" &amp; COUNTA($B$2:B328))"),"")</f>
        <v/>
      </c>
      <c r="B328" s="16"/>
      <c r="C328" s="16"/>
      <c r="D328" s="2"/>
      <c r="E328" s="2"/>
      <c r="F328" s="16"/>
      <c r="G328" s="12" t="str">
        <f t="shared" si="1"/>
        <v/>
      </c>
      <c r="H328" s="17"/>
      <c r="I328" s="16"/>
      <c r="J328" s="16"/>
      <c r="K328" s="16"/>
      <c r="L328" s="12"/>
      <c r="M328" s="16"/>
      <c r="N328" s="16"/>
      <c r="O328" s="16"/>
      <c r="P328" s="16"/>
      <c r="Q328" s="16"/>
      <c r="R328" s="16"/>
      <c r="S328" s="16"/>
      <c r="T328" s="2"/>
      <c r="U328" s="2"/>
      <c r="V328" s="17"/>
      <c r="W328" s="4" t="str">
        <f t="shared" si="2"/>
        <v>,,,,,,,,,,,,,,,,,,,,,12-30-1899</v>
      </c>
      <c r="X328" s="15"/>
      <c r="Y328" s="15"/>
      <c r="Z328" s="15"/>
      <c r="AA328" s="15"/>
      <c r="AB328" s="15"/>
    </row>
    <row r="329" ht="15.75" customHeight="1">
      <c r="A329" s="9" t="str">
        <f>IFERROR(__xludf.DUMMYFUNCTION("if(B329="""","""", REGEXEXTRACT(B329,""(.*)-.*"") &amp; ""-"" &amp; COUNTA($B$2:B329))"),"")</f>
        <v/>
      </c>
      <c r="B329" s="16"/>
      <c r="C329" s="16"/>
      <c r="D329" s="2"/>
      <c r="E329" s="2"/>
      <c r="F329" s="16"/>
      <c r="G329" s="12" t="str">
        <f t="shared" si="1"/>
        <v/>
      </c>
      <c r="H329" s="17"/>
      <c r="I329" s="16"/>
      <c r="J329" s="16"/>
      <c r="K329" s="16"/>
      <c r="L329" s="12"/>
      <c r="M329" s="16"/>
      <c r="N329" s="16"/>
      <c r="O329" s="16"/>
      <c r="P329" s="16"/>
      <c r="Q329" s="16"/>
      <c r="R329" s="16"/>
      <c r="S329" s="16"/>
      <c r="T329" s="2"/>
      <c r="U329" s="2"/>
      <c r="V329" s="17"/>
      <c r="W329" s="4" t="str">
        <f t="shared" si="2"/>
        <v>,,,,,,,,,,,,,,,,,,,,,12-30-1899</v>
      </c>
      <c r="X329" s="15"/>
      <c r="Y329" s="15"/>
      <c r="Z329" s="15"/>
      <c r="AA329" s="15"/>
      <c r="AB329" s="15"/>
    </row>
    <row r="330" ht="15.75" customHeight="1">
      <c r="A330" s="9" t="str">
        <f>IFERROR(__xludf.DUMMYFUNCTION("if(B330="""","""", REGEXEXTRACT(B330,""(.*)-.*"") &amp; ""-"" &amp; COUNTA($B$2:B330))"),"")</f>
        <v/>
      </c>
      <c r="B330" s="16"/>
      <c r="C330" s="16"/>
      <c r="D330" s="2"/>
      <c r="E330" s="2"/>
      <c r="F330" s="16"/>
      <c r="G330" s="12" t="str">
        <f t="shared" si="1"/>
        <v/>
      </c>
      <c r="H330" s="17"/>
      <c r="I330" s="16"/>
      <c r="J330" s="16"/>
      <c r="K330" s="16"/>
      <c r="L330" s="12"/>
      <c r="M330" s="16"/>
      <c r="N330" s="16"/>
      <c r="O330" s="16"/>
      <c r="P330" s="16"/>
      <c r="Q330" s="16"/>
      <c r="R330" s="16"/>
      <c r="S330" s="16"/>
      <c r="T330" s="2"/>
      <c r="U330" s="2"/>
      <c r="V330" s="17"/>
      <c r="W330" s="4" t="str">
        <f t="shared" si="2"/>
        <v>,,,,,,,,,,,,,,,,,,,,,12-30-1899</v>
      </c>
      <c r="X330" s="15"/>
      <c r="Y330" s="15"/>
      <c r="Z330" s="15"/>
      <c r="AA330" s="15"/>
      <c r="AB330" s="15"/>
    </row>
    <row r="331" ht="15.75" customHeight="1">
      <c r="A331" s="9" t="str">
        <f>IFERROR(__xludf.DUMMYFUNCTION("if(B331="""","""", REGEXEXTRACT(B331,""(.*)-.*"") &amp; ""-"" &amp; COUNTA($B$2:B331))"),"")</f>
        <v/>
      </c>
      <c r="B331" s="16"/>
      <c r="C331" s="16"/>
      <c r="D331" s="2"/>
      <c r="E331" s="2"/>
      <c r="F331" s="16"/>
      <c r="G331" s="12" t="str">
        <f t="shared" si="1"/>
        <v/>
      </c>
      <c r="H331" s="17"/>
      <c r="I331" s="16"/>
      <c r="J331" s="16"/>
      <c r="K331" s="16"/>
      <c r="L331" s="12"/>
      <c r="M331" s="16"/>
      <c r="N331" s="16"/>
      <c r="O331" s="16"/>
      <c r="P331" s="16"/>
      <c r="Q331" s="16"/>
      <c r="R331" s="16"/>
      <c r="S331" s="16"/>
      <c r="T331" s="2"/>
      <c r="U331" s="2"/>
      <c r="V331" s="17"/>
      <c r="W331" s="4" t="str">
        <f t="shared" si="2"/>
        <v>,,,,,,,,,,,,,,,,,,,,,12-30-1899</v>
      </c>
      <c r="X331" s="15"/>
      <c r="Y331" s="15"/>
      <c r="Z331" s="15"/>
      <c r="AA331" s="15"/>
      <c r="AB331" s="15"/>
    </row>
    <row r="332" ht="15.75" customHeight="1">
      <c r="A332" s="9" t="str">
        <f>IFERROR(__xludf.DUMMYFUNCTION("if(B332="""","""", REGEXEXTRACT(B332,""(.*)-.*"") &amp; ""-"" &amp; COUNTA($B$2:B332))"),"")</f>
        <v/>
      </c>
      <c r="B332" s="16"/>
      <c r="C332" s="16"/>
      <c r="D332" s="2"/>
      <c r="E332" s="2"/>
      <c r="F332" s="16"/>
      <c r="G332" s="12" t="str">
        <f t="shared" si="1"/>
        <v/>
      </c>
      <c r="H332" s="17"/>
      <c r="I332" s="16"/>
      <c r="J332" s="16"/>
      <c r="K332" s="16"/>
      <c r="L332" s="12"/>
      <c r="M332" s="16"/>
      <c r="N332" s="16"/>
      <c r="O332" s="16"/>
      <c r="P332" s="16"/>
      <c r="Q332" s="16"/>
      <c r="R332" s="16"/>
      <c r="S332" s="16"/>
      <c r="T332" s="2"/>
      <c r="U332" s="2"/>
      <c r="V332" s="17"/>
      <c r="W332" s="4" t="str">
        <f t="shared" si="2"/>
        <v>,,,,,,,,,,,,,,,,,,,,,12-30-1899</v>
      </c>
      <c r="X332" s="15"/>
      <c r="Y332" s="15"/>
      <c r="Z332" s="15"/>
      <c r="AA332" s="15"/>
      <c r="AB332" s="15"/>
    </row>
    <row r="333" ht="15.75" customHeight="1">
      <c r="A333" s="9" t="str">
        <f>IFERROR(__xludf.DUMMYFUNCTION("if(B333="""","""", REGEXEXTRACT(B333,""(.*)-.*"") &amp; ""-"" &amp; COUNTA($B$2:B333))"),"")</f>
        <v/>
      </c>
      <c r="B333" s="16"/>
      <c r="C333" s="16"/>
      <c r="D333" s="2"/>
      <c r="E333" s="2"/>
      <c r="F333" s="16"/>
      <c r="G333" s="12" t="str">
        <f t="shared" si="1"/>
        <v/>
      </c>
      <c r="H333" s="17"/>
      <c r="I333" s="16"/>
      <c r="J333" s="16"/>
      <c r="K333" s="16"/>
      <c r="L333" s="12"/>
      <c r="M333" s="16"/>
      <c r="N333" s="16"/>
      <c r="O333" s="16"/>
      <c r="P333" s="16"/>
      <c r="Q333" s="16"/>
      <c r="R333" s="16"/>
      <c r="S333" s="16"/>
      <c r="T333" s="2"/>
      <c r="U333" s="2"/>
      <c r="V333" s="17"/>
      <c r="W333" s="4" t="str">
        <f t="shared" si="2"/>
        <v>,,,,,,,,,,,,,,,,,,,,,12-30-1899</v>
      </c>
      <c r="X333" s="15"/>
      <c r="Y333" s="15"/>
      <c r="Z333" s="15"/>
      <c r="AA333" s="15"/>
      <c r="AB333" s="15"/>
    </row>
    <row r="334" ht="15.75" customHeight="1">
      <c r="A334" s="9" t="str">
        <f>IFERROR(__xludf.DUMMYFUNCTION("if(B334="""","""", REGEXEXTRACT(B334,""(.*)-.*"") &amp; ""-"" &amp; COUNTA($B$2:B334))"),"")</f>
        <v/>
      </c>
      <c r="B334" s="16"/>
      <c r="C334" s="16"/>
      <c r="D334" s="2"/>
      <c r="E334" s="2"/>
      <c r="F334" s="16"/>
      <c r="G334" s="12" t="str">
        <f t="shared" si="1"/>
        <v/>
      </c>
      <c r="H334" s="17"/>
      <c r="I334" s="16"/>
      <c r="J334" s="16"/>
      <c r="K334" s="16"/>
      <c r="L334" s="12"/>
      <c r="M334" s="16"/>
      <c r="N334" s="16"/>
      <c r="O334" s="16"/>
      <c r="P334" s="16"/>
      <c r="Q334" s="16"/>
      <c r="R334" s="16"/>
      <c r="S334" s="16"/>
      <c r="T334" s="2"/>
      <c r="U334" s="2"/>
      <c r="V334" s="17"/>
      <c r="W334" s="4" t="str">
        <f t="shared" si="2"/>
        <v>,,,,,,,,,,,,,,,,,,,,,12-30-1899</v>
      </c>
      <c r="X334" s="15"/>
      <c r="Y334" s="15"/>
      <c r="Z334" s="15"/>
      <c r="AA334" s="15"/>
      <c r="AB334" s="15"/>
    </row>
    <row r="335" ht="15.75" customHeight="1">
      <c r="A335" s="9" t="str">
        <f>IFERROR(__xludf.DUMMYFUNCTION("if(B335="""","""", REGEXEXTRACT(B335,""(.*)-.*"") &amp; ""-"" &amp; COUNTA($B$2:B335))"),"")</f>
        <v/>
      </c>
      <c r="B335" s="16"/>
      <c r="C335" s="16"/>
      <c r="D335" s="2"/>
      <c r="E335" s="2"/>
      <c r="F335" s="16"/>
      <c r="G335" s="12" t="str">
        <f t="shared" si="1"/>
        <v/>
      </c>
      <c r="H335" s="17"/>
      <c r="I335" s="16"/>
      <c r="J335" s="16"/>
      <c r="K335" s="16"/>
      <c r="L335" s="12"/>
      <c r="M335" s="16"/>
      <c r="N335" s="16"/>
      <c r="O335" s="16"/>
      <c r="P335" s="16"/>
      <c r="Q335" s="16"/>
      <c r="R335" s="16"/>
      <c r="S335" s="16"/>
      <c r="T335" s="2"/>
      <c r="U335" s="2"/>
      <c r="V335" s="17"/>
      <c r="W335" s="4" t="str">
        <f t="shared" si="2"/>
        <v>,,,,,,,,,,,,,,,,,,,,,12-30-1899</v>
      </c>
      <c r="X335" s="15"/>
      <c r="Y335" s="15"/>
      <c r="Z335" s="15"/>
      <c r="AA335" s="15"/>
      <c r="AB335" s="15"/>
    </row>
    <row r="336" ht="15.75" customHeight="1">
      <c r="A336" s="9" t="str">
        <f>IFERROR(__xludf.DUMMYFUNCTION("if(B336="""","""", REGEXEXTRACT(B336,""(.*)-.*"") &amp; ""-"" &amp; COUNTA($B$2:B336))"),"")</f>
        <v/>
      </c>
      <c r="B336" s="16"/>
      <c r="C336" s="16"/>
      <c r="D336" s="2"/>
      <c r="E336" s="2"/>
      <c r="F336" s="16"/>
      <c r="G336" s="12" t="str">
        <f t="shared" si="1"/>
        <v/>
      </c>
      <c r="H336" s="17"/>
      <c r="I336" s="16"/>
      <c r="J336" s="16"/>
      <c r="K336" s="16"/>
      <c r="L336" s="12"/>
      <c r="M336" s="16"/>
      <c r="N336" s="16"/>
      <c r="O336" s="16"/>
      <c r="P336" s="16"/>
      <c r="Q336" s="16"/>
      <c r="R336" s="16"/>
      <c r="S336" s="16"/>
      <c r="T336" s="2"/>
      <c r="U336" s="2"/>
      <c r="V336" s="17"/>
      <c r="W336" s="4" t="str">
        <f t="shared" si="2"/>
        <v>,,,,,,,,,,,,,,,,,,,,,12-30-1899</v>
      </c>
      <c r="X336" s="15"/>
      <c r="Y336" s="15"/>
      <c r="Z336" s="15"/>
      <c r="AA336" s="15"/>
      <c r="AB336" s="15"/>
    </row>
    <row r="337" ht="15.75" customHeight="1">
      <c r="A337" s="9" t="str">
        <f>IFERROR(__xludf.DUMMYFUNCTION("if(B337="""","""", REGEXEXTRACT(B337,""(.*)-.*"") &amp; ""-"" &amp; COUNTA($B$2:B337))"),"")</f>
        <v/>
      </c>
      <c r="B337" s="16"/>
      <c r="C337" s="16"/>
      <c r="D337" s="2"/>
      <c r="E337" s="2"/>
      <c r="F337" s="16"/>
      <c r="G337" s="12" t="str">
        <f t="shared" si="1"/>
        <v/>
      </c>
      <c r="H337" s="17"/>
      <c r="I337" s="16"/>
      <c r="J337" s="16"/>
      <c r="K337" s="16"/>
      <c r="L337" s="12"/>
      <c r="M337" s="16"/>
      <c r="N337" s="16"/>
      <c r="O337" s="16"/>
      <c r="P337" s="16"/>
      <c r="Q337" s="16"/>
      <c r="R337" s="16"/>
      <c r="S337" s="16"/>
      <c r="T337" s="2"/>
      <c r="U337" s="2"/>
      <c r="V337" s="17"/>
      <c r="W337" s="4" t="str">
        <f t="shared" si="2"/>
        <v>,,,,,,,,,,,,,,,,,,,,,12-30-1899</v>
      </c>
      <c r="X337" s="15"/>
      <c r="Y337" s="15"/>
      <c r="Z337" s="15"/>
      <c r="AA337" s="15"/>
      <c r="AB337" s="15"/>
    </row>
    <row r="338" ht="15.75" customHeight="1">
      <c r="A338" s="9" t="str">
        <f>IFERROR(__xludf.DUMMYFUNCTION("if(B338="""","""", REGEXEXTRACT(B338,""(.*)-.*"") &amp; ""-"" &amp; COUNTA($B$2:B338))"),"")</f>
        <v/>
      </c>
      <c r="B338" s="16"/>
      <c r="C338" s="16"/>
      <c r="D338" s="2"/>
      <c r="E338" s="2"/>
      <c r="F338" s="16"/>
      <c r="G338" s="12" t="str">
        <f t="shared" si="1"/>
        <v/>
      </c>
      <c r="H338" s="17"/>
      <c r="I338" s="16"/>
      <c r="J338" s="16"/>
      <c r="K338" s="16"/>
      <c r="L338" s="12"/>
      <c r="M338" s="16"/>
      <c r="N338" s="16"/>
      <c r="O338" s="16"/>
      <c r="P338" s="16"/>
      <c r="Q338" s="16"/>
      <c r="R338" s="16"/>
      <c r="S338" s="16"/>
      <c r="T338" s="2"/>
      <c r="U338" s="2"/>
      <c r="V338" s="17"/>
      <c r="W338" s="4" t="str">
        <f t="shared" si="2"/>
        <v>,,,,,,,,,,,,,,,,,,,,,12-30-1899</v>
      </c>
      <c r="X338" s="15"/>
      <c r="Y338" s="15"/>
      <c r="Z338" s="15"/>
      <c r="AA338" s="15"/>
      <c r="AB338" s="15"/>
    </row>
    <row r="339" ht="15.75" customHeight="1">
      <c r="A339" s="9" t="str">
        <f>IFERROR(__xludf.DUMMYFUNCTION("if(B339="""","""", REGEXEXTRACT(B339,""(.*)-.*"") &amp; ""-"" &amp; COUNTA($B$2:B339))"),"")</f>
        <v/>
      </c>
      <c r="B339" s="16"/>
      <c r="C339" s="16"/>
      <c r="D339" s="2"/>
      <c r="E339" s="2"/>
      <c r="F339" s="16"/>
      <c r="G339" s="12" t="str">
        <f t="shared" si="1"/>
        <v/>
      </c>
      <c r="H339" s="17"/>
      <c r="I339" s="16"/>
      <c r="J339" s="16"/>
      <c r="K339" s="16"/>
      <c r="L339" s="12"/>
      <c r="M339" s="16"/>
      <c r="N339" s="16"/>
      <c r="O339" s="16"/>
      <c r="P339" s="16"/>
      <c r="Q339" s="16"/>
      <c r="R339" s="16"/>
      <c r="S339" s="16"/>
      <c r="T339" s="2"/>
      <c r="U339" s="2"/>
      <c r="V339" s="17"/>
      <c r="W339" s="4" t="str">
        <f t="shared" si="2"/>
        <v>,,,,,,,,,,,,,,,,,,,,,12-30-1899</v>
      </c>
      <c r="X339" s="15"/>
      <c r="Y339" s="15"/>
      <c r="Z339" s="15"/>
      <c r="AA339" s="15"/>
      <c r="AB339" s="15"/>
    </row>
    <row r="340" ht="15.75" customHeight="1">
      <c r="A340" s="9" t="str">
        <f>IFERROR(__xludf.DUMMYFUNCTION("if(B340="""","""", REGEXEXTRACT(B340,""(.*)-.*"") &amp; ""-"" &amp; COUNTA($B$2:B340))"),"")</f>
        <v/>
      </c>
      <c r="B340" s="16"/>
      <c r="C340" s="16"/>
      <c r="D340" s="2"/>
      <c r="E340" s="2"/>
      <c r="F340" s="16"/>
      <c r="G340" s="12" t="str">
        <f t="shared" si="1"/>
        <v/>
      </c>
      <c r="H340" s="17"/>
      <c r="I340" s="16"/>
      <c r="J340" s="16"/>
      <c r="K340" s="16"/>
      <c r="L340" s="12"/>
      <c r="M340" s="16"/>
      <c r="N340" s="16"/>
      <c r="O340" s="16"/>
      <c r="P340" s="16"/>
      <c r="Q340" s="16"/>
      <c r="R340" s="16"/>
      <c r="S340" s="16"/>
      <c r="T340" s="2"/>
      <c r="U340" s="2"/>
      <c r="V340" s="17"/>
      <c r="W340" s="4" t="str">
        <f t="shared" si="2"/>
        <v>,,,,,,,,,,,,,,,,,,,,,12-30-1899</v>
      </c>
      <c r="X340" s="15"/>
      <c r="Y340" s="15"/>
      <c r="Z340" s="15"/>
      <c r="AA340" s="15"/>
      <c r="AB340" s="15"/>
    </row>
    <row r="341" ht="15.75" customHeight="1">
      <c r="A341" s="9" t="str">
        <f>IFERROR(__xludf.DUMMYFUNCTION("if(B341="""","""", REGEXEXTRACT(B341,""(.*)-.*"") &amp; ""-"" &amp; COUNTA($B$2:B341))"),"")</f>
        <v/>
      </c>
      <c r="B341" s="16"/>
      <c r="C341" s="16"/>
      <c r="D341" s="2"/>
      <c r="E341" s="2"/>
      <c r="F341" s="16"/>
      <c r="G341" s="12" t="str">
        <f t="shared" si="1"/>
        <v/>
      </c>
      <c r="H341" s="17"/>
      <c r="I341" s="16"/>
      <c r="J341" s="16"/>
      <c r="K341" s="16"/>
      <c r="L341" s="12"/>
      <c r="M341" s="16"/>
      <c r="N341" s="16"/>
      <c r="O341" s="16"/>
      <c r="P341" s="16"/>
      <c r="Q341" s="16"/>
      <c r="R341" s="16"/>
      <c r="S341" s="16"/>
      <c r="T341" s="2"/>
      <c r="U341" s="2"/>
      <c r="V341" s="17"/>
      <c r="W341" s="4" t="str">
        <f t="shared" si="2"/>
        <v>,,,,,,,,,,,,,,,,,,,,,12-30-1899</v>
      </c>
      <c r="X341" s="15"/>
      <c r="Y341" s="15"/>
      <c r="Z341" s="15"/>
      <c r="AA341" s="15"/>
      <c r="AB341" s="15"/>
    </row>
    <row r="342" ht="15.75" customHeight="1">
      <c r="A342" s="9" t="str">
        <f>IFERROR(__xludf.DUMMYFUNCTION("if(B342="""","""", REGEXEXTRACT(B342,""(.*)-.*"") &amp; ""-"" &amp; COUNTA($B$2:B342))"),"")</f>
        <v/>
      </c>
      <c r="B342" s="16"/>
      <c r="C342" s="16"/>
      <c r="D342" s="2"/>
      <c r="E342" s="2"/>
      <c r="F342" s="16"/>
      <c r="G342" s="12" t="str">
        <f t="shared" si="1"/>
        <v/>
      </c>
      <c r="H342" s="17"/>
      <c r="I342" s="16"/>
      <c r="J342" s="16"/>
      <c r="K342" s="16"/>
      <c r="L342" s="12"/>
      <c r="M342" s="16"/>
      <c r="N342" s="16"/>
      <c r="O342" s="16"/>
      <c r="P342" s="16"/>
      <c r="Q342" s="16"/>
      <c r="R342" s="16"/>
      <c r="S342" s="16"/>
      <c r="T342" s="2"/>
      <c r="U342" s="2"/>
      <c r="V342" s="17"/>
      <c r="W342" s="4" t="str">
        <f t="shared" si="2"/>
        <v>,,,,,,,,,,,,,,,,,,,,,12-30-1899</v>
      </c>
      <c r="X342" s="15"/>
      <c r="Y342" s="15"/>
      <c r="Z342" s="15"/>
      <c r="AA342" s="15"/>
      <c r="AB342" s="15"/>
    </row>
    <row r="343" ht="15.75" customHeight="1">
      <c r="A343" s="9" t="str">
        <f>IFERROR(__xludf.DUMMYFUNCTION("if(B343="""","""", REGEXEXTRACT(B343,""(.*)-.*"") &amp; ""-"" &amp; COUNTA($B$2:B343))"),"")</f>
        <v/>
      </c>
      <c r="B343" s="16"/>
      <c r="C343" s="16"/>
      <c r="D343" s="2"/>
      <c r="E343" s="2"/>
      <c r="F343" s="16"/>
      <c r="G343" s="12" t="str">
        <f t="shared" si="1"/>
        <v/>
      </c>
      <c r="H343" s="17"/>
      <c r="I343" s="16"/>
      <c r="J343" s="16"/>
      <c r="K343" s="16"/>
      <c r="L343" s="12"/>
      <c r="M343" s="16"/>
      <c r="N343" s="16"/>
      <c r="O343" s="16"/>
      <c r="P343" s="16"/>
      <c r="Q343" s="16"/>
      <c r="R343" s="16"/>
      <c r="S343" s="16"/>
      <c r="T343" s="2"/>
      <c r="U343" s="2"/>
      <c r="V343" s="17"/>
      <c r="W343" s="4" t="str">
        <f t="shared" si="2"/>
        <v>,,,,,,,,,,,,,,,,,,,,,12-30-1899</v>
      </c>
      <c r="X343" s="15"/>
      <c r="Y343" s="15"/>
      <c r="Z343" s="15"/>
      <c r="AA343" s="15"/>
      <c r="AB343" s="15"/>
    </row>
    <row r="344" ht="15.75" customHeight="1">
      <c r="A344" s="9" t="str">
        <f>IFERROR(__xludf.DUMMYFUNCTION("if(B344="""","""", REGEXEXTRACT(B344,""(.*)-.*"") &amp; ""-"" &amp; COUNTA($B$2:B344))"),"")</f>
        <v/>
      </c>
      <c r="B344" s="16"/>
      <c r="C344" s="16"/>
      <c r="D344" s="2"/>
      <c r="E344" s="2"/>
      <c r="F344" s="16"/>
      <c r="G344" s="12" t="str">
        <f t="shared" si="1"/>
        <v/>
      </c>
      <c r="H344" s="17"/>
      <c r="I344" s="16"/>
      <c r="J344" s="16"/>
      <c r="K344" s="16"/>
      <c r="L344" s="12"/>
      <c r="M344" s="16"/>
      <c r="N344" s="16"/>
      <c r="O344" s="16"/>
      <c r="P344" s="16"/>
      <c r="Q344" s="16"/>
      <c r="R344" s="16"/>
      <c r="S344" s="16"/>
      <c r="T344" s="2"/>
      <c r="U344" s="2"/>
      <c r="V344" s="17"/>
      <c r="W344" s="4" t="str">
        <f t="shared" si="2"/>
        <v>,,,,,,,,,,,,,,,,,,,,,12-30-1899</v>
      </c>
      <c r="X344" s="15"/>
      <c r="Y344" s="15"/>
      <c r="Z344" s="15"/>
      <c r="AA344" s="15"/>
      <c r="AB344" s="15"/>
    </row>
    <row r="345" ht="15.75" customHeight="1">
      <c r="A345" s="9" t="str">
        <f>IFERROR(__xludf.DUMMYFUNCTION("if(B345="""","""", REGEXEXTRACT(B345,""(.*)-.*"") &amp; ""-"" &amp; COUNTA($B$2:B345))"),"")</f>
        <v/>
      </c>
      <c r="B345" s="16"/>
      <c r="C345" s="16"/>
      <c r="D345" s="2"/>
      <c r="E345" s="2"/>
      <c r="F345" s="16"/>
      <c r="G345" s="12" t="str">
        <f t="shared" si="1"/>
        <v/>
      </c>
      <c r="H345" s="17"/>
      <c r="I345" s="16"/>
      <c r="J345" s="16"/>
      <c r="K345" s="16"/>
      <c r="L345" s="12"/>
      <c r="M345" s="16"/>
      <c r="N345" s="16"/>
      <c r="O345" s="16"/>
      <c r="P345" s="16"/>
      <c r="Q345" s="16"/>
      <c r="R345" s="16"/>
      <c r="S345" s="16"/>
      <c r="T345" s="2"/>
      <c r="U345" s="2"/>
      <c r="V345" s="17"/>
      <c r="W345" s="4" t="str">
        <f t="shared" si="2"/>
        <v>,,,,,,,,,,,,,,,,,,,,,12-30-1899</v>
      </c>
      <c r="X345" s="15"/>
      <c r="Y345" s="15"/>
      <c r="Z345" s="15"/>
      <c r="AA345" s="15"/>
      <c r="AB345" s="15"/>
    </row>
    <row r="346" ht="15.75" customHeight="1">
      <c r="A346" s="9" t="str">
        <f>IFERROR(__xludf.DUMMYFUNCTION("if(B346="""","""", REGEXEXTRACT(B346,""(.*)-.*"") &amp; ""-"" &amp; COUNTA($B$2:B346))"),"")</f>
        <v/>
      </c>
      <c r="B346" s="16"/>
      <c r="C346" s="16"/>
      <c r="D346" s="2"/>
      <c r="E346" s="2"/>
      <c r="F346" s="16"/>
      <c r="G346" s="12" t="str">
        <f t="shared" si="1"/>
        <v/>
      </c>
      <c r="H346" s="17"/>
      <c r="I346" s="16"/>
      <c r="J346" s="16"/>
      <c r="K346" s="16"/>
      <c r="L346" s="12"/>
      <c r="M346" s="16"/>
      <c r="N346" s="16"/>
      <c r="O346" s="16"/>
      <c r="P346" s="16"/>
      <c r="Q346" s="16"/>
      <c r="R346" s="16"/>
      <c r="S346" s="16"/>
      <c r="T346" s="2"/>
      <c r="U346" s="2"/>
      <c r="V346" s="17"/>
      <c r="W346" s="4" t="str">
        <f t="shared" si="2"/>
        <v>,,,,,,,,,,,,,,,,,,,,,12-30-1899</v>
      </c>
      <c r="X346" s="15"/>
      <c r="Y346" s="15"/>
      <c r="Z346" s="15"/>
      <c r="AA346" s="15"/>
      <c r="AB346" s="15"/>
    </row>
    <row r="347" ht="15.75" customHeight="1">
      <c r="A347" s="9" t="str">
        <f>IFERROR(__xludf.DUMMYFUNCTION("if(B347="""","""", REGEXEXTRACT(B347,""(.*)-.*"") &amp; ""-"" &amp; COUNTA($B$2:B347))"),"")</f>
        <v/>
      </c>
      <c r="B347" s="16"/>
      <c r="C347" s="16"/>
      <c r="D347" s="2"/>
      <c r="E347" s="2"/>
      <c r="F347" s="16"/>
      <c r="G347" s="12" t="str">
        <f t="shared" si="1"/>
        <v/>
      </c>
      <c r="H347" s="17"/>
      <c r="I347" s="16"/>
      <c r="J347" s="16"/>
      <c r="K347" s="16"/>
      <c r="L347" s="12"/>
      <c r="M347" s="16"/>
      <c r="N347" s="16"/>
      <c r="O347" s="16"/>
      <c r="P347" s="16"/>
      <c r="Q347" s="16"/>
      <c r="R347" s="16"/>
      <c r="S347" s="16"/>
      <c r="T347" s="2"/>
      <c r="U347" s="2"/>
      <c r="V347" s="17"/>
      <c r="W347" s="4" t="str">
        <f t="shared" si="2"/>
        <v>,,,,,,,,,,,,,,,,,,,,,12-30-1899</v>
      </c>
      <c r="X347" s="15"/>
      <c r="Y347" s="15"/>
      <c r="Z347" s="15"/>
      <c r="AA347" s="15"/>
      <c r="AB347" s="15"/>
    </row>
    <row r="348" ht="15.75" customHeight="1">
      <c r="A348" s="9" t="str">
        <f>IFERROR(__xludf.DUMMYFUNCTION("if(B348="""","""", REGEXEXTRACT(B348,""(.*)-.*"") &amp; ""-"" &amp; COUNTA($B$2:B348))"),"")</f>
        <v/>
      </c>
      <c r="B348" s="16"/>
      <c r="C348" s="16"/>
      <c r="D348" s="2"/>
      <c r="E348" s="2"/>
      <c r="F348" s="16"/>
      <c r="G348" s="12" t="str">
        <f t="shared" si="1"/>
        <v/>
      </c>
      <c r="H348" s="17"/>
      <c r="I348" s="16"/>
      <c r="J348" s="16"/>
      <c r="K348" s="16"/>
      <c r="L348" s="12"/>
      <c r="M348" s="16"/>
      <c r="N348" s="16"/>
      <c r="O348" s="16"/>
      <c r="P348" s="16"/>
      <c r="Q348" s="16"/>
      <c r="R348" s="16"/>
      <c r="S348" s="16"/>
      <c r="T348" s="2"/>
      <c r="U348" s="2"/>
      <c r="V348" s="17"/>
      <c r="W348" s="4" t="str">
        <f t="shared" si="2"/>
        <v>,,,,,,,,,,,,,,,,,,,,,12-30-1899</v>
      </c>
      <c r="X348" s="15"/>
      <c r="Y348" s="15"/>
      <c r="Z348" s="15"/>
      <c r="AA348" s="15"/>
      <c r="AB348" s="15"/>
    </row>
    <row r="349" ht="15.75" customHeight="1">
      <c r="A349" s="9" t="str">
        <f>IFERROR(__xludf.DUMMYFUNCTION("if(B349="""","""", REGEXEXTRACT(B349,""(.*)-.*"") &amp; ""-"" &amp; COUNTA($B$2:B349))"),"")</f>
        <v/>
      </c>
      <c r="B349" s="16"/>
      <c r="C349" s="16"/>
      <c r="D349" s="2"/>
      <c r="E349" s="2"/>
      <c r="F349" s="16"/>
      <c r="G349" s="12" t="str">
        <f t="shared" si="1"/>
        <v/>
      </c>
      <c r="H349" s="17"/>
      <c r="I349" s="16"/>
      <c r="J349" s="16"/>
      <c r="K349" s="16"/>
      <c r="L349" s="12"/>
      <c r="M349" s="16"/>
      <c r="N349" s="16"/>
      <c r="O349" s="16"/>
      <c r="P349" s="16"/>
      <c r="Q349" s="16"/>
      <c r="R349" s="16"/>
      <c r="S349" s="16"/>
      <c r="T349" s="2"/>
      <c r="U349" s="2"/>
      <c r="V349" s="17"/>
      <c r="W349" s="4" t="str">
        <f t="shared" si="2"/>
        <v>,,,,,,,,,,,,,,,,,,,,,12-30-1899</v>
      </c>
      <c r="X349" s="15"/>
      <c r="Y349" s="15"/>
      <c r="Z349" s="15"/>
      <c r="AA349" s="15"/>
      <c r="AB349" s="15"/>
    </row>
    <row r="350" ht="15.75" customHeight="1">
      <c r="A350" s="9" t="str">
        <f>IFERROR(__xludf.DUMMYFUNCTION("if(B350="""","""", REGEXEXTRACT(B350,""(.*)-.*"") &amp; ""-"" &amp; COUNTA($B$2:B350))"),"")</f>
        <v/>
      </c>
      <c r="B350" s="16"/>
      <c r="C350" s="16"/>
      <c r="D350" s="2"/>
      <c r="E350" s="2"/>
      <c r="F350" s="16"/>
      <c r="G350" s="12" t="str">
        <f t="shared" si="1"/>
        <v/>
      </c>
      <c r="H350" s="17"/>
      <c r="I350" s="16"/>
      <c r="J350" s="16"/>
      <c r="K350" s="16"/>
      <c r="L350" s="12"/>
      <c r="M350" s="16"/>
      <c r="N350" s="16"/>
      <c r="O350" s="16"/>
      <c r="P350" s="16"/>
      <c r="Q350" s="16"/>
      <c r="R350" s="16"/>
      <c r="S350" s="16"/>
      <c r="T350" s="2"/>
      <c r="U350" s="2"/>
      <c r="V350" s="17"/>
      <c r="W350" s="4" t="str">
        <f t="shared" si="2"/>
        <v>,,,,,,,,,,,,,,,,,,,,,12-30-1899</v>
      </c>
      <c r="X350" s="15"/>
      <c r="Y350" s="15"/>
      <c r="Z350" s="15"/>
      <c r="AA350" s="15"/>
      <c r="AB350" s="15"/>
    </row>
    <row r="351" ht="15.75" customHeight="1">
      <c r="A351" s="9" t="str">
        <f>IFERROR(__xludf.DUMMYFUNCTION("if(B351="""","""", REGEXEXTRACT(B351,""(.*)-.*"") &amp; ""-"" &amp; COUNTA($B$2:B351))"),"")</f>
        <v/>
      </c>
      <c r="B351" s="16"/>
      <c r="C351" s="16"/>
      <c r="D351" s="2"/>
      <c r="E351" s="2"/>
      <c r="F351" s="16"/>
      <c r="G351" s="12" t="str">
        <f t="shared" si="1"/>
        <v/>
      </c>
      <c r="H351" s="17"/>
      <c r="I351" s="16"/>
      <c r="J351" s="16"/>
      <c r="K351" s="16"/>
      <c r="L351" s="12"/>
      <c r="M351" s="16"/>
      <c r="N351" s="16"/>
      <c r="O351" s="16"/>
      <c r="P351" s="16"/>
      <c r="Q351" s="16"/>
      <c r="R351" s="16"/>
      <c r="S351" s="16"/>
      <c r="T351" s="2"/>
      <c r="U351" s="2"/>
      <c r="V351" s="17"/>
      <c r="W351" s="4" t="str">
        <f t="shared" si="2"/>
        <v>,,,,,,,,,,,,,,,,,,,,,12-30-1899</v>
      </c>
      <c r="X351" s="15"/>
      <c r="Y351" s="15"/>
      <c r="Z351" s="15"/>
      <c r="AA351" s="15"/>
      <c r="AB351" s="15"/>
    </row>
    <row r="352" ht="15.75" customHeight="1">
      <c r="A352" s="9" t="str">
        <f>IFERROR(__xludf.DUMMYFUNCTION("if(B352="""","""", REGEXEXTRACT(B352,""(.*)-.*"") &amp; ""-"" &amp; COUNTA($B$2:B352))"),"")</f>
        <v/>
      </c>
      <c r="B352" s="16"/>
      <c r="C352" s="16"/>
      <c r="D352" s="2"/>
      <c r="E352" s="2"/>
      <c r="F352" s="16"/>
      <c r="G352" s="12" t="str">
        <f t="shared" si="1"/>
        <v/>
      </c>
      <c r="H352" s="17"/>
      <c r="I352" s="16"/>
      <c r="J352" s="16"/>
      <c r="K352" s="16"/>
      <c r="L352" s="12"/>
      <c r="M352" s="16"/>
      <c r="N352" s="16"/>
      <c r="O352" s="16"/>
      <c r="P352" s="16"/>
      <c r="Q352" s="16"/>
      <c r="R352" s="16"/>
      <c r="S352" s="16"/>
      <c r="T352" s="2"/>
      <c r="U352" s="2"/>
      <c r="V352" s="17"/>
      <c r="W352" s="4" t="str">
        <f t="shared" si="2"/>
        <v>,,,,,,,,,,,,,,,,,,,,,12-30-1899</v>
      </c>
      <c r="X352" s="15"/>
      <c r="Y352" s="15"/>
      <c r="Z352" s="15"/>
      <c r="AA352" s="15"/>
      <c r="AB352" s="15"/>
    </row>
    <row r="353" ht="15.75" customHeight="1">
      <c r="A353" s="9" t="str">
        <f>IFERROR(__xludf.DUMMYFUNCTION("if(B353="""","""", REGEXEXTRACT(B353,""(.*)-.*"") &amp; ""-"" &amp; COUNTA($B$2:B353))"),"")</f>
        <v/>
      </c>
      <c r="B353" s="16"/>
      <c r="C353" s="16"/>
      <c r="D353" s="2"/>
      <c r="E353" s="2"/>
      <c r="F353" s="16"/>
      <c r="G353" s="12" t="str">
        <f t="shared" si="1"/>
        <v/>
      </c>
      <c r="H353" s="17"/>
      <c r="I353" s="16"/>
      <c r="J353" s="16"/>
      <c r="K353" s="16"/>
      <c r="L353" s="12"/>
      <c r="M353" s="16"/>
      <c r="N353" s="16"/>
      <c r="O353" s="16"/>
      <c r="P353" s="16"/>
      <c r="Q353" s="16"/>
      <c r="R353" s="16"/>
      <c r="S353" s="16"/>
      <c r="T353" s="2"/>
      <c r="U353" s="2"/>
      <c r="V353" s="17"/>
      <c r="W353" s="4" t="str">
        <f t="shared" si="2"/>
        <v>,,,,,,,,,,,,,,,,,,,,,12-30-1899</v>
      </c>
      <c r="X353" s="15"/>
      <c r="Y353" s="15"/>
      <c r="Z353" s="15"/>
      <c r="AA353" s="15"/>
      <c r="AB353" s="15"/>
    </row>
    <row r="354" ht="15.75" customHeight="1">
      <c r="A354" s="9" t="str">
        <f>IFERROR(__xludf.DUMMYFUNCTION("if(B354="""","""", REGEXEXTRACT(B354,""(.*)-.*"") &amp; ""-"" &amp; COUNTA($B$2:B354))"),"")</f>
        <v/>
      </c>
      <c r="B354" s="16"/>
      <c r="C354" s="16"/>
      <c r="D354" s="2"/>
      <c r="E354" s="2"/>
      <c r="F354" s="16"/>
      <c r="G354" s="12" t="str">
        <f t="shared" si="1"/>
        <v/>
      </c>
      <c r="H354" s="17"/>
      <c r="I354" s="16"/>
      <c r="J354" s="16"/>
      <c r="K354" s="16"/>
      <c r="L354" s="12"/>
      <c r="M354" s="16"/>
      <c r="N354" s="16"/>
      <c r="O354" s="16"/>
      <c r="P354" s="16"/>
      <c r="Q354" s="16"/>
      <c r="R354" s="16"/>
      <c r="S354" s="16"/>
      <c r="T354" s="2"/>
      <c r="U354" s="2"/>
      <c r="V354" s="17"/>
      <c r="W354" s="4" t="str">
        <f t="shared" si="2"/>
        <v>,,,,,,,,,,,,,,,,,,,,,12-30-1899</v>
      </c>
      <c r="X354" s="15"/>
      <c r="Y354" s="15"/>
      <c r="Z354" s="15"/>
      <c r="AA354" s="15"/>
      <c r="AB354" s="15"/>
    </row>
    <row r="355" ht="15.75" customHeight="1">
      <c r="A355" s="9" t="str">
        <f>IFERROR(__xludf.DUMMYFUNCTION("if(B355="""","""", REGEXEXTRACT(B355,""(.*)-.*"") &amp; ""-"" &amp; COUNTA($B$2:B355))"),"")</f>
        <v/>
      </c>
      <c r="B355" s="16"/>
      <c r="C355" s="16"/>
      <c r="D355" s="2"/>
      <c r="E355" s="2"/>
      <c r="F355" s="16"/>
      <c r="G355" s="12" t="str">
        <f t="shared" si="1"/>
        <v/>
      </c>
      <c r="H355" s="17"/>
      <c r="I355" s="16"/>
      <c r="J355" s="16"/>
      <c r="K355" s="16"/>
      <c r="L355" s="12"/>
      <c r="M355" s="16"/>
      <c r="N355" s="16"/>
      <c r="O355" s="16"/>
      <c r="P355" s="16"/>
      <c r="Q355" s="16"/>
      <c r="R355" s="16"/>
      <c r="S355" s="16"/>
      <c r="T355" s="2"/>
      <c r="U355" s="2"/>
      <c r="V355" s="17"/>
      <c r="W355" s="4" t="str">
        <f t="shared" si="2"/>
        <v>,,,,,,,,,,,,,,,,,,,,,12-30-1899</v>
      </c>
      <c r="X355" s="15"/>
      <c r="Y355" s="15"/>
      <c r="Z355" s="15"/>
      <c r="AA355" s="15"/>
      <c r="AB355" s="15"/>
    </row>
    <row r="356" ht="15.75" customHeight="1">
      <c r="A356" s="9" t="str">
        <f>IFERROR(__xludf.DUMMYFUNCTION("if(B356="""","""", REGEXEXTRACT(B356,""(.*)-.*"") &amp; ""-"" &amp; COUNTA($B$2:B356))"),"")</f>
        <v/>
      </c>
      <c r="B356" s="16"/>
      <c r="C356" s="16"/>
      <c r="D356" s="2"/>
      <c r="E356" s="2"/>
      <c r="F356" s="16"/>
      <c r="G356" s="12" t="str">
        <f t="shared" si="1"/>
        <v/>
      </c>
      <c r="H356" s="17"/>
      <c r="I356" s="16"/>
      <c r="J356" s="16"/>
      <c r="K356" s="16"/>
      <c r="L356" s="12"/>
      <c r="M356" s="16"/>
      <c r="N356" s="16"/>
      <c r="O356" s="16"/>
      <c r="P356" s="16"/>
      <c r="Q356" s="16"/>
      <c r="R356" s="16"/>
      <c r="S356" s="16"/>
      <c r="T356" s="2"/>
      <c r="U356" s="2"/>
      <c r="V356" s="17"/>
      <c r="W356" s="4" t="str">
        <f t="shared" si="2"/>
        <v>,,,,,,,,,,,,,,,,,,,,,12-30-1899</v>
      </c>
      <c r="X356" s="15"/>
      <c r="Y356" s="15"/>
      <c r="Z356" s="15"/>
      <c r="AA356" s="15"/>
      <c r="AB356" s="15"/>
    </row>
    <row r="357" ht="15.75" customHeight="1">
      <c r="A357" s="9" t="str">
        <f>IFERROR(__xludf.DUMMYFUNCTION("if(B357="""","""", REGEXEXTRACT(B357,""(.*)-.*"") &amp; ""-"" &amp; COUNTA($B$2:B357))"),"")</f>
        <v/>
      </c>
      <c r="B357" s="16"/>
      <c r="C357" s="16"/>
      <c r="D357" s="2"/>
      <c r="E357" s="2"/>
      <c r="F357" s="16"/>
      <c r="G357" s="12" t="str">
        <f t="shared" si="1"/>
        <v/>
      </c>
      <c r="H357" s="17"/>
      <c r="I357" s="16"/>
      <c r="J357" s="16"/>
      <c r="K357" s="16"/>
      <c r="L357" s="12"/>
      <c r="M357" s="16"/>
      <c r="N357" s="16"/>
      <c r="O357" s="16"/>
      <c r="P357" s="16"/>
      <c r="Q357" s="16"/>
      <c r="R357" s="16"/>
      <c r="S357" s="16"/>
      <c r="T357" s="2"/>
      <c r="U357" s="2"/>
      <c r="V357" s="17"/>
      <c r="W357" s="4" t="str">
        <f t="shared" si="2"/>
        <v>,,,,,,,,,,,,,,,,,,,,,12-30-1899</v>
      </c>
      <c r="X357" s="15"/>
      <c r="Y357" s="15"/>
      <c r="Z357" s="15"/>
      <c r="AA357" s="15"/>
      <c r="AB357" s="15"/>
    </row>
    <row r="358" ht="15.75" customHeight="1">
      <c r="A358" s="9" t="str">
        <f>IFERROR(__xludf.DUMMYFUNCTION("if(B358="""","""", REGEXEXTRACT(B358,""(.*)-.*"") &amp; ""-"" &amp; COUNTA($B$2:B358))"),"")</f>
        <v/>
      </c>
      <c r="B358" s="16"/>
      <c r="C358" s="16"/>
      <c r="D358" s="2"/>
      <c r="E358" s="2"/>
      <c r="F358" s="16"/>
      <c r="G358" s="12" t="str">
        <f t="shared" si="1"/>
        <v/>
      </c>
      <c r="H358" s="17"/>
      <c r="I358" s="16"/>
      <c r="J358" s="16"/>
      <c r="K358" s="16"/>
      <c r="L358" s="12"/>
      <c r="M358" s="16"/>
      <c r="N358" s="16"/>
      <c r="O358" s="16"/>
      <c r="P358" s="16"/>
      <c r="Q358" s="16"/>
      <c r="R358" s="16"/>
      <c r="S358" s="16"/>
      <c r="T358" s="2"/>
      <c r="U358" s="2"/>
      <c r="V358" s="17"/>
      <c r="W358" s="4" t="str">
        <f t="shared" si="2"/>
        <v>,,,,,,,,,,,,,,,,,,,,,12-30-1899</v>
      </c>
      <c r="X358" s="15"/>
      <c r="Y358" s="15"/>
      <c r="Z358" s="15"/>
      <c r="AA358" s="15"/>
      <c r="AB358" s="15"/>
    </row>
    <row r="359" ht="15.75" customHeight="1">
      <c r="A359" s="9" t="str">
        <f>IFERROR(__xludf.DUMMYFUNCTION("if(B359="""","""", REGEXEXTRACT(B359,""(.*)-.*"") &amp; ""-"" &amp; COUNTA($B$2:B359))"),"")</f>
        <v/>
      </c>
      <c r="B359" s="16"/>
      <c r="C359" s="16"/>
      <c r="D359" s="2"/>
      <c r="E359" s="2"/>
      <c r="F359" s="16"/>
      <c r="G359" s="12" t="str">
        <f t="shared" si="1"/>
        <v/>
      </c>
      <c r="H359" s="17"/>
      <c r="I359" s="16"/>
      <c r="J359" s="16"/>
      <c r="K359" s="16"/>
      <c r="L359" s="12"/>
      <c r="M359" s="16"/>
      <c r="N359" s="16"/>
      <c r="O359" s="16"/>
      <c r="P359" s="16"/>
      <c r="Q359" s="16"/>
      <c r="R359" s="16"/>
      <c r="S359" s="16"/>
      <c r="T359" s="2"/>
      <c r="U359" s="2"/>
      <c r="V359" s="17"/>
      <c r="W359" s="4" t="str">
        <f t="shared" si="2"/>
        <v>,,,,,,,,,,,,,,,,,,,,,12-30-1899</v>
      </c>
      <c r="X359" s="15"/>
      <c r="Y359" s="15"/>
      <c r="Z359" s="15"/>
      <c r="AA359" s="15"/>
      <c r="AB359" s="15"/>
    </row>
    <row r="360" ht="15.75" customHeight="1">
      <c r="A360" s="9" t="str">
        <f>IFERROR(__xludf.DUMMYFUNCTION("if(B360="""","""", REGEXEXTRACT(B360,""(.*)-.*"") &amp; ""-"" &amp; COUNTA($B$2:B360))"),"")</f>
        <v/>
      </c>
      <c r="B360" s="16"/>
      <c r="C360" s="16"/>
      <c r="D360" s="2"/>
      <c r="E360" s="2"/>
      <c r="F360" s="16"/>
      <c r="G360" s="12" t="str">
        <f t="shared" si="1"/>
        <v/>
      </c>
      <c r="H360" s="17"/>
      <c r="I360" s="16"/>
      <c r="J360" s="16"/>
      <c r="K360" s="16"/>
      <c r="L360" s="12"/>
      <c r="M360" s="16"/>
      <c r="N360" s="16"/>
      <c r="O360" s="16"/>
      <c r="P360" s="16"/>
      <c r="Q360" s="16"/>
      <c r="R360" s="16"/>
      <c r="S360" s="16"/>
      <c r="T360" s="2"/>
      <c r="U360" s="2"/>
      <c r="V360" s="17"/>
      <c r="W360" s="4" t="str">
        <f t="shared" si="2"/>
        <v>,,,,,,,,,,,,,,,,,,,,,12-30-1899</v>
      </c>
      <c r="X360" s="15"/>
      <c r="Y360" s="15"/>
      <c r="Z360" s="15"/>
      <c r="AA360" s="15"/>
      <c r="AB360" s="15"/>
    </row>
    <row r="361" ht="15.75" customHeight="1">
      <c r="A361" s="9" t="str">
        <f>IFERROR(__xludf.DUMMYFUNCTION("if(B361="""","""", REGEXEXTRACT(B361,""(.*)-.*"") &amp; ""-"" &amp; COUNTA($B$2:B361))"),"")</f>
        <v/>
      </c>
      <c r="B361" s="16"/>
      <c r="C361" s="16"/>
      <c r="D361" s="2"/>
      <c r="E361" s="2"/>
      <c r="F361" s="16"/>
      <c r="G361" s="12" t="str">
        <f t="shared" si="1"/>
        <v/>
      </c>
      <c r="H361" s="17"/>
      <c r="I361" s="16"/>
      <c r="J361" s="16"/>
      <c r="K361" s="16"/>
      <c r="L361" s="12"/>
      <c r="M361" s="16"/>
      <c r="N361" s="16"/>
      <c r="O361" s="16"/>
      <c r="P361" s="16"/>
      <c r="Q361" s="16"/>
      <c r="R361" s="16"/>
      <c r="S361" s="16"/>
      <c r="T361" s="2"/>
      <c r="U361" s="2"/>
      <c r="V361" s="17"/>
      <c r="W361" s="4" t="str">
        <f t="shared" si="2"/>
        <v>,,,,,,,,,,,,,,,,,,,,,12-30-1899</v>
      </c>
      <c r="X361" s="15"/>
      <c r="Y361" s="15"/>
      <c r="Z361" s="15"/>
      <c r="AA361" s="15"/>
      <c r="AB361" s="15"/>
    </row>
    <row r="362" ht="15.75" customHeight="1">
      <c r="A362" s="9" t="str">
        <f>IFERROR(__xludf.DUMMYFUNCTION("if(B362="""","""", REGEXEXTRACT(B362,""(.*)-.*"") &amp; ""-"" &amp; COUNTA($B$2:B362))"),"")</f>
        <v/>
      </c>
      <c r="B362" s="16"/>
      <c r="C362" s="16"/>
      <c r="D362" s="2"/>
      <c r="E362" s="2"/>
      <c r="F362" s="16"/>
      <c r="G362" s="12" t="str">
        <f t="shared" si="1"/>
        <v/>
      </c>
      <c r="H362" s="17"/>
      <c r="I362" s="16"/>
      <c r="J362" s="16"/>
      <c r="K362" s="16"/>
      <c r="L362" s="12"/>
      <c r="M362" s="16"/>
      <c r="N362" s="16"/>
      <c r="O362" s="16"/>
      <c r="P362" s="16"/>
      <c r="Q362" s="16"/>
      <c r="R362" s="16"/>
      <c r="S362" s="16"/>
      <c r="T362" s="2"/>
      <c r="U362" s="2"/>
      <c r="V362" s="17"/>
      <c r="W362" s="4" t="str">
        <f t="shared" si="2"/>
        <v>,,,,,,,,,,,,,,,,,,,,,12-30-1899</v>
      </c>
      <c r="X362" s="15"/>
      <c r="Y362" s="15"/>
      <c r="Z362" s="15"/>
      <c r="AA362" s="15"/>
      <c r="AB362" s="15"/>
    </row>
    <row r="363" ht="15.75" customHeight="1">
      <c r="A363" s="9" t="str">
        <f>IFERROR(__xludf.DUMMYFUNCTION("if(B363="""","""", REGEXEXTRACT(B363,""(.*)-.*"") &amp; ""-"" &amp; COUNTA($B$2:B363))"),"")</f>
        <v/>
      </c>
      <c r="B363" s="16"/>
      <c r="C363" s="16"/>
      <c r="D363" s="2"/>
      <c r="E363" s="2"/>
      <c r="F363" s="16"/>
      <c r="G363" s="12" t="str">
        <f t="shared" si="1"/>
        <v/>
      </c>
      <c r="H363" s="17"/>
      <c r="I363" s="16"/>
      <c r="J363" s="16"/>
      <c r="K363" s="16"/>
      <c r="L363" s="12"/>
      <c r="M363" s="16"/>
      <c r="N363" s="16"/>
      <c r="O363" s="16"/>
      <c r="P363" s="16"/>
      <c r="Q363" s="16"/>
      <c r="R363" s="16"/>
      <c r="S363" s="16"/>
      <c r="T363" s="2"/>
      <c r="U363" s="2"/>
      <c r="V363" s="17"/>
      <c r="W363" s="4" t="str">
        <f t="shared" si="2"/>
        <v>,,,,,,,,,,,,,,,,,,,,,12-30-1899</v>
      </c>
      <c r="X363" s="15"/>
      <c r="Y363" s="15"/>
      <c r="Z363" s="15"/>
      <c r="AA363" s="15"/>
      <c r="AB363" s="15"/>
    </row>
    <row r="364" ht="15.75" customHeight="1">
      <c r="A364" s="9" t="str">
        <f>IFERROR(__xludf.DUMMYFUNCTION("if(B364="""","""", REGEXEXTRACT(B364,""(.*)-.*"") &amp; ""-"" &amp; COUNTA($B$2:B364))"),"")</f>
        <v/>
      </c>
      <c r="B364" s="16"/>
      <c r="C364" s="16"/>
      <c r="D364" s="2"/>
      <c r="E364" s="2"/>
      <c r="F364" s="16"/>
      <c r="G364" s="12" t="str">
        <f t="shared" si="1"/>
        <v/>
      </c>
      <c r="H364" s="17"/>
      <c r="I364" s="16"/>
      <c r="J364" s="16"/>
      <c r="K364" s="16"/>
      <c r="L364" s="12"/>
      <c r="M364" s="16"/>
      <c r="N364" s="16"/>
      <c r="O364" s="16"/>
      <c r="P364" s="16"/>
      <c r="Q364" s="16"/>
      <c r="R364" s="16"/>
      <c r="S364" s="16"/>
      <c r="T364" s="2"/>
      <c r="U364" s="2"/>
      <c r="V364" s="17"/>
      <c r="W364" s="4" t="str">
        <f t="shared" si="2"/>
        <v>,,,,,,,,,,,,,,,,,,,,,12-30-1899</v>
      </c>
      <c r="X364" s="15"/>
      <c r="Y364" s="15"/>
      <c r="Z364" s="15"/>
      <c r="AA364" s="15"/>
      <c r="AB364" s="15"/>
    </row>
    <row r="365" ht="15.75" customHeight="1">
      <c r="A365" s="9" t="str">
        <f>IFERROR(__xludf.DUMMYFUNCTION("if(B365="""","""", REGEXEXTRACT(B365,""(.*)-.*"") &amp; ""-"" &amp; COUNTA($B$2:B365))"),"")</f>
        <v/>
      </c>
      <c r="B365" s="16"/>
      <c r="C365" s="16"/>
      <c r="D365" s="2"/>
      <c r="E365" s="2"/>
      <c r="F365" s="16"/>
      <c r="G365" s="12" t="str">
        <f t="shared" si="1"/>
        <v/>
      </c>
      <c r="H365" s="17"/>
      <c r="I365" s="16"/>
      <c r="J365" s="16"/>
      <c r="K365" s="16"/>
      <c r="L365" s="12"/>
      <c r="M365" s="16"/>
      <c r="N365" s="16"/>
      <c r="O365" s="16"/>
      <c r="P365" s="16"/>
      <c r="Q365" s="16"/>
      <c r="R365" s="16"/>
      <c r="S365" s="16"/>
      <c r="T365" s="2"/>
      <c r="U365" s="2"/>
      <c r="V365" s="17"/>
      <c r="W365" s="4" t="str">
        <f t="shared" si="2"/>
        <v>,,,,,,,,,,,,,,,,,,,,,12-30-1899</v>
      </c>
      <c r="X365" s="15"/>
      <c r="Y365" s="15"/>
      <c r="Z365" s="15"/>
      <c r="AA365" s="15"/>
      <c r="AB365" s="15"/>
    </row>
    <row r="366" ht="15.75" customHeight="1">
      <c r="A366" s="9" t="str">
        <f>IFERROR(__xludf.DUMMYFUNCTION("if(B366="""","""", REGEXEXTRACT(B366,""(.*)-.*"") &amp; ""-"" &amp; COUNTA($B$2:B366))"),"")</f>
        <v/>
      </c>
      <c r="B366" s="16"/>
      <c r="C366" s="16"/>
      <c r="D366" s="2"/>
      <c r="E366" s="2"/>
      <c r="F366" s="16"/>
      <c r="G366" s="12" t="str">
        <f t="shared" si="1"/>
        <v/>
      </c>
      <c r="H366" s="17"/>
      <c r="I366" s="16"/>
      <c r="J366" s="16"/>
      <c r="K366" s="16"/>
      <c r="L366" s="12"/>
      <c r="M366" s="16"/>
      <c r="N366" s="16"/>
      <c r="O366" s="16"/>
      <c r="P366" s="16"/>
      <c r="Q366" s="16"/>
      <c r="R366" s="16"/>
      <c r="S366" s="16"/>
      <c r="T366" s="2"/>
      <c r="U366" s="2"/>
      <c r="V366" s="17"/>
      <c r="W366" s="4" t="str">
        <f t="shared" si="2"/>
        <v>,,,,,,,,,,,,,,,,,,,,,12-30-1899</v>
      </c>
      <c r="X366" s="15"/>
      <c r="Y366" s="15"/>
      <c r="Z366" s="15"/>
      <c r="AA366" s="15"/>
      <c r="AB366" s="15"/>
    </row>
    <row r="367" ht="15.75" customHeight="1">
      <c r="A367" s="9" t="str">
        <f>IFERROR(__xludf.DUMMYFUNCTION("if(B367="""","""", REGEXEXTRACT(B367,""(.*)-.*"") &amp; ""-"" &amp; COUNTA($B$2:B367))"),"")</f>
        <v/>
      </c>
      <c r="B367" s="16"/>
      <c r="C367" s="16"/>
      <c r="D367" s="2"/>
      <c r="E367" s="2"/>
      <c r="F367" s="16"/>
      <c r="G367" s="12" t="str">
        <f t="shared" si="1"/>
        <v/>
      </c>
      <c r="H367" s="17"/>
      <c r="I367" s="16"/>
      <c r="J367" s="16"/>
      <c r="K367" s="16"/>
      <c r="L367" s="12"/>
      <c r="M367" s="16"/>
      <c r="N367" s="16"/>
      <c r="O367" s="16"/>
      <c r="P367" s="16"/>
      <c r="Q367" s="16"/>
      <c r="R367" s="16"/>
      <c r="S367" s="16"/>
      <c r="T367" s="2"/>
      <c r="U367" s="2"/>
      <c r="V367" s="17"/>
      <c r="W367" s="4" t="str">
        <f t="shared" si="2"/>
        <v>,,,,,,,,,,,,,,,,,,,,,12-30-1899</v>
      </c>
      <c r="X367" s="15"/>
      <c r="Y367" s="15"/>
      <c r="Z367" s="15"/>
      <c r="AA367" s="15"/>
      <c r="AB367" s="15"/>
    </row>
    <row r="368" ht="15.75" customHeight="1">
      <c r="A368" s="9" t="str">
        <f>IFERROR(__xludf.DUMMYFUNCTION("if(B368="""","""", REGEXEXTRACT(B368,""(.*)-.*"") &amp; ""-"" &amp; COUNTA($B$2:B368))"),"")</f>
        <v/>
      </c>
      <c r="B368" s="16"/>
      <c r="C368" s="16"/>
      <c r="D368" s="2"/>
      <c r="E368" s="2"/>
      <c r="F368" s="16"/>
      <c r="G368" s="12" t="str">
        <f t="shared" si="1"/>
        <v/>
      </c>
      <c r="H368" s="17"/>
      <c r="I368" s="16"/>
      <c r="J368" s="16"/>
      <c r="K368" s="16"/>
      <c r="L368" s="12"/>
      <c r="M368" s="16"/>
      <c r="N368" s="16"/>
      <c r="O368" s="16"/>
      <c r="P368" s="16"/>
      <c r="Q368" s="16"/>
      <c r="R368" s="16"/>
      <c r="S368" s="16"/>
      <c r="T368" s="2"/>
      <c r="U368" s="2"/>
      <c r="V368" s="17"/>
      <c r="W368" s="4" t="str">
        <f t="shared" si="2"/>
        <v>,,,,,,,,,,,,,,,,,,,,,12-30-1899</v>
      </c>
      <c r="X368" s="15"/>
      <c r="Y368" s="15"/>
      <c r="Z368" s="15"/>
      <c r="AA368" s="15"/>
      <c r="AB368" s="15"/>
    </row>
    <row r="369" ht="15.75" customHeight="1">
      <c r="A369" s="9" t="str">
        <f>IFERROR(__xludf.DUMMYFUNCTION("if(B369="""","""", REGEXEXTRACT(B369,""(.*)-.*"") &amp; ""-"" &amp; COUNTA($B$2:B369))"),"")</f>
        <v/>
      </c>
      <c r="B369" s="16"/>
      <c r="C369" s="16"/>
      <c r="D369" s="2"/>
      <c r="E369" s="2"/>
      <c r="F369" s="16"/>
      <c r="G369" s="12" t="str">
        <f t="shared" si="1"/>
        <v/>
      </c>
      <c r="H369" s="17"/>
      <c r="I369" s="16"/>
      <c r="J369" s="16"/>
      <c r="K369" s="16"/>
      <c r="L369" s="12"/>
      <c r="M369" s="16"/>
      <c r="N369" s="16"/>
      <c r="O369" s="16"/>
      <c r="P369" s="16"/>
      <c r="Q369" s="16"/>
      <c r="R369" s="16"/>
      <c r="S369" s="16"/>
      <c r="T369" s="2"/>
      <c r="U369" s="2"/>
      <c r="V369" s="17"/>
      <c r="W369" s="4" t="str">
        <f t="shared" si="2"/>
        <v>,,,,,,,,,,,,,,,,,,,,,12-30-1899</v>
      </c>
      <c r="X369" s="15"/>
      <c r="Y369" s="15"/>
      <c r="Z369" s="15"/>
      <c r="AA369" s="15"/>
      <c r="AB369" s="15"/>
    </row>
    <row r="370" ht="15.75" customHeight="1">
      <c r="A370" s="9" t="str">
        <f>IFERROR(__xludf.DUMMYFUNCTION("if(B370="""","""", REGEXEXTRACT(B370,""(.*)-.*"") &amp; ""-"" &amp; COUNTA($B$2:B370))"),"")</f>
        <v/>
      </c>
      <c r="B370" s="16"/>
      <c r="C370" s="16"/>
      <c r="D370" s="2"/>
      <c r="E370" s="2"/>
      <c r="F370" s="16"/>
      <c r="G370" s="12" t="str">
        <f t="shared" si="1"/>
        <v/>
      </c>
      <c r="H370" s="17"/>
      <c r="I370" s="16"/>
      <c r="J370" s="16"/>
      <c r="K370" s="16"/>
      <c r="L370" s="12"/>
      <c r="M370" s="16"/>
      <c r="N370" s="16"/>
      <c r="O370" s="16"/>
      <c r="P370" s="16"/>
      <c r="Q370" s="16"/>
      <c r="R370" s="16"/>
      <c r="S370" s="16"/>
      <c r="T370" s="2"/>
      <c r="U370" s="2"/>
      <c r="V370" s="17"/>
      <c r="W370" s="4" t="str">
        <f t="shared" si="2"/>
        <v>,,,,,,,,,,,,,,,,,,,,,12-30-1899</v>
      </c>
      <c r="X370" s="15"/>
      <c r="Y370" s="15"/>
      <c r="Z370" s="15"/>
      <c r="AA370" s="15"/>
      <c r="AB370" s="15"/>
    </row>
    <row r="371" ht="15.75" customHeight="1">
      <c r="A371" s="9" t="str">
        <f>IFERROR(__xludf.DUMMYFUNCTION("if(B371="""","""", REGEXEXTRACT(B371,""(.*)-.*"") &amp; ""-"" &amp; COUNTA($B$2:B371))"),"")</f>
        <v/>
      </c>
      <c r="B371" s="16"/>
      <c r="C371" s="16"/>
      <c r="D371" s="2"/>
      <c r="E371" s="2"/>
      <c r="F371" s="16"/>
      <c r="G371" s="12" t="str">
        <f t="shared" si="1"/>
        <v/>
      </c>
      <c r="H371" s="17"/>
      <c r="I371" s="16"/>
      <c r="J371" s="16"/>
      <c r="K371" s="16"/>
      <c r="L371" s="12"/>
      <c r="M371" s="16"/>
      <c r="N371" s="16"/>
      <c r="O371" s="16"/>
      <c r="P371" s="16"/>
      <c r="Q371" s="16"/>
      <c r="R371" s="16"/>
      <c r="S371" s="16"/>
      <c r="T371" s="2"/>
      <c r="U371" s="2"/>
      <c r="V371" s="17"/>
      <c r="W371" s="4" t="str">
        <f t="shared" si="2"/>
        <v>,,,,,,,,,,,,,,,,,,,,,12-30-1899</v>
      </c>
      <c r="X371" s="15"/>
      <c r="Y371" s="15"/>
      <c r="Z371" s="15"/>
      <c r="AA371" s="15"/>
      <c r="AB371" s="15"/>
    </row>
    <row r="372" ht="15.75" customHeight="1">
      <c r="A372" s="9" t="str">
        <f>IFERROR(__xludf.DUMMYFUNCTION("if(B372="""","""", REGEXEXTRACT(B372,""(.*)-.*"") &amp; ""-"" &amp; COUNTA($B$2:B372))"),"")</f>
        <v/>
      </c>
      <c r="B372" s="16"/>
      <c r="C372" s="16"/>
      <c r="D372" s="2"/>
      <c r="E372" s="2"/>
      <c r="F372" s="16"/>
      <c r="G372" s="12" t="str">
        <f t="shared" si="1"/>
        <v/>
      </c>
      <c r="H372" s="17"/>
      <c r="I372" s="16"/>
      <c r="J372" s="16"/>
      <c r="K372" s="16"/>
      <c r="L372" s="12"/>
      <c r="M372" s="16"/>
      <c r="N372" s="16"/>
      <c r="O372" s="16"/>
      <c r="P372" s="16"/>
      <c r="Q372" s="16"/>
      <c r="R372" s="16"/>
      <c r="S372" s="16"/>
      <c r="T372" s="2"/>
      <c r="U372" s="2"/>
      <c r="V372" s="17"/>
      <c r="W372" s="4" t="str">
        <f t="shared" si="2"/>
        <v>,,,,,,,,,,,,,,,,,,,,,12-30-1899</v>
      </c>
      <c r="X372" s="15"/>
      <c r="Y372" s="15"/>
      <c r="Z372" s="15"/>
      <c r="AA372" s="15"/>
      <c r="AB372" s="15"/>
    </row>
    <row r="373" ht="15.75" customHeight="1">
      <c r="A373" s="9" t="str">
        <f>IFERROR(__xludf.DUMMYFUNCTION("if(B373="""","""", REGEXEXTRACT(B373,""(.*)-.*"") &amp; ""-"" &amp; COUNTA($B$2:B373))"),"")</f>
        <v/>
      </c>
      <c r="B373" s="16"/>
      <c r="C373" s="16"/>
      <c r="D373" s="2"/>
      <c r="E373" s="2"/>
      <c r="F373" s="16"/>
      <c r="G373" s="12" t="str">
        <f t="shared" si="1"/>
        <v/>
      </c>
      <c r="H373" s="17"/>
      <c r="I373" s="16"/>
      <c r="J373" s="16"/>
      <c r="K373" s="16"/>
      <c r="L373" s="12"/>
      <c r="M373" s="16"/>
      <c r="N373" s="16"/>
      <c r="O373" s="16"/>
      <c r="P373" s="16"/>
      <c r="Q373" s="16"/>
      <c r="R373" s="16"/>
      <c r="S373" s="16"/>
      <c r="T373" s="2"/>
      <c r="U373" s="2"/>
      <c r="V373" s="17"/>
      <c r="W373" s="4" t="str">
        <f t="shared" si="2"/>
        <v>,,,,,,,,,,,,,,,,,,,,,12-30-1899</v>
      </c>
      <c r="X373" s="15"/>
      <c r="Y373" s="15"/>
      <c r="Z373" s="15"/>
      <c r="AA373" s="15"/>
      <c r="AB373" s="15"/>
    </row>
    <row r="374" ht="15.75" customHeight="1">
      <c r="A374" s="9" t="str">
        <f>IFERROR(__xludf.DUMMYFUNCTION("if(B374="""","""", REGEXEXTRACT(B374,""(.*)-.*"") &amp; ""-"" &amp; COUNTA($B$2:B374))"),"")</f>
        <v/>
      </c>
      <c r="B374" s="16"/>
      <c r="C374" s="16"/>
      <c r="D374" s="2"/>
      <c r="E374" s="2"/>
      <c r="F374" s="16"/>
      <c r="G374" s="12" t="str">
        <f t="shared" si="1"/>
        <v/>
      </c>
      <c r="H374" s="17"/>
      <c r="I374" s="16"/>
      <c r="J374" s="16"/>
      <c r="K374" s="16"/>
      <c r="L374" s="12"/>
      <c r="M374" s="16"/>
      <c r="N374" s="16"/>
      <c r="O374" s="16"/>
      <c r="P374" s="16"/>
      <c r="Q374" s="16"/>
      <c r="R374" s="16"/>
      <c r="S374" s="16"/>
      <c r="T374" s="2"/>
      <c r="U374" s="2"/>
      <c r="V374" s="17"/>
      <c r="W374" s="4" t="str">
        <f t="shared" si="2"/>
        <v>,,,,,,,,,,,,,,,,,,,,,12-30-1899</v>
      </c>
      <c r="X374" s="15"/>
      <c r="Y374" s="15"/>
      <c r="Z374" s="15"/>
      <c r="AA374" s="15"/>
      <c r="AB374" s="15"/>
    </row>
    <row r="375" ht="15.75" customHeight="1">
      <c r="A375" s="9" t="str">
        <f>IFERROR(__xludf.DUMMYFUNCTION("if(B375="""","""", REGEXEXTRACT(B375,""(.*)-.*"") &amp; ""-"" &amp; COUNTA($B$2:B375))"),"")</f>
        <v/>
      </c>
      <c r="B375" s="16"/>
      <c r="C375" s="16"/>
      <c r="D375" s="2"/>
      <c r="E375" s="2"/>
      <c r="F375" s="16"/>
      <c r="G375" s="12" t="str">
        <f t="shared" si="1"/>
        <v/>
      </c>
      <c r="H375" s="17"/>
      <c r="I375" s="16"/>
      <c r="J375" s="16"/>
      <c r="K375" s="16"/>
      <c r="L375" s="12"/>
      <c r="M375" s="16"/>
      <c r="N375" s="16"/>
      <c r="O375" s="16"/>
      <c r="P375" s="16"/>
      <c r="Q375" s="16"/>
      <c r="R375" s="16"/>
      <c r="S375" s="16"/>
      <c r="T375" s="2"/>
      <c r="U375" s="2"/>
      <c r="V375" s="17"/>
      <c r="W375" s="4" t="str">
        <f t="shared" si="2"/>
        <v>,,,,,,,,,,,,,,,,,,,,,12-30-1899</v>
      </c>
      <c r="X375" s="15"/>
      <c r="Y375" s="15"/>
      <c r="Z375" s="15"/>
      <c r="AA375" s="15"/>
      <c r="AB375" s="15"/>
    </row>
    <row r="376" ht="15.75" customHeight="1">
      <c r="A376" s="9" t="str">
        <f>IFERROR(__xludf.DUMMYFUNCTION("if(B376="""","""", REGEXEXTRACT(B376,""(.*)-.*"") &amp; ""-"" &amp; COUNTA($B$2:B376))"),"")</f>
        <v/>
      </c>
      <c r="B376" s="16"/>
      <c r="C376" s="16"/>
      <c r="D376" s="2"/>
      <c r="E376" s="2"/>
      <c r="F376" s="16"/>
      <c r="G376" s="12" t="str">
        <f t="shared" si="1"/>
        <v/>
      </c>
      <c r="H376" s="17"/>
      <c r="I376" s="16"/>
      <c r="J376" s="16"/>
      <c r="K376" s="16"/>
      <c r="L376" s="12"/>
      <c r="M376" s="16"/>
      <c r="N376" s="16"/>
      <c r="O376" s="16"/>
      <c r="P376" s="16"/>
      <c r="Q376" s="16"/>
      <c r="R376" s="16"/>
      <c r="S376" s="16"/>
      <c r="T376" s="2"/>
      <c r="U376" s="2"/>
      <c r="V376" s="17"/>
      <c r="W376" s="4" t="str">
        <f t="shared" si="2"/>
        <v>,,,,,,,,,,,,,,,,,,,,,12-30-1899</v>
      </c>
      <c r="X376" s="15"/>
      <c r="Y376" s="15"/>
      <c r="Z376" s="15"/>
      <c r="AA376" s="15"/>
      <c r="AB376" s="15"/>
    </row>
    <row r="377" ht="15.75" customHeight="1">
      <c r="A377" s="9" t="str">
        <f>IFERROR(__xludf.DUMMYFUNCTION("if(B377="""","""", REGEXEXTRACT(B377,""(.*)-.*"") &amp; ""-"" &amp; COUNTA($B$2:B377))"),"")</f>
        <v/>
      </c>
      <c r="B377" s="16"/>
      <c r="C377" s="16"/>
      <c r="D377" s="2"/>
      <c r="E377" s="2"/>
      <c r="F377" s="16"/>
      <c r="G377" s="12" t="str">
        <f t="shared" si="1"/>
        <v/>
      </c>
      <c r="H377" s="17"/>
      <c r="I377" s="16"/>
      <c r="J377" s="16"/>
      <c r="K377" s="16"/>
      <c r="L377" s="12"/>
      <c r="M377" s="16"/>
      <c r="N377" s="16"/>
      <c r="O377" s="16"/>
      <c r="P377" s="16"/>
      <c r="Q377" s="16"/>
      <c r="R377" s="16"/>
      <c r="S377" s="16"/>
      <c r="T377" s="2"/>
      <c r="U377" s="2"/>
      <c r="V377" s="17"/>
      <c r="W377" s="4" t="str">
        <f t="shared" si="2"/>
        <v>,,,,,,,,,,,,,,,,,,,,,12-30-1899</v>
      </c>
      <c r="X377" s="15"/>
      <c r="Y377" s="15"/>
      <c r="Z377" s="15"/>
      <c r="AA377" s="15"/>
      <c r="AB377" s="15"/>
    </row>
    <row r="378" ht="15.75" customHeight="1">
      <c r="A378" s="9" t="str">
        <f>IFERROR(__xludf.DUMMYFUNCTION("if(B378="""","""", REGEXEXTRACT(B378,""(.*)-.*"") &amp; ""-"" &amp; COUNTA($B$2:B378))"),"")</f>
        <v/>
      </c>
      <c r="B378" s="16"/>
      <c r="C378" s="16"/>
      <c r="D378" s="2"/>
      <c r="E378" s="2"/>
      <c r="F378" s="16"/>
      <c r="G378" s="12" t="str">
        <f t="shared" si="1"/>
        <v/>
      </c>
      <c r="H378" s="17"/>
      <c r="I378" s="16"/>
      <c r="J378" s="16"/>
      <c r="K378" s="16"/>
      <c r="L378" s="12"/>
      <c r="M378" s="16"/>
      <c r="N378" s="16"/>
      <c r="O378" s="16"/>
      <c r="P378" s="16"/>
      <c r="Q378" s="16"/>
      <c r="R378" s="16"/>
      <c r="S378" s="16"/>
      <c r="T378" s="2"/>
      <c r="U378" s="2"/>
      <c r="V378" s="17"/>
      <c r="W378" s="4" t="str">
        <f t="shared" si="2"/>
        <v>,,,,,,,,,,,,,,,,,,,,,12-30-1899</v>
      </c>
      <c r="X378" s="15"/>
      <c r="Y378" s="15"/>
      <c r="Z378" s="15"/>
      <c r="AA378" s="15"/>
      <c r="AB378" s="15"/>
    </row>
    <row r="379" ht="15.75" customHeight="1">
      <c r="A379" s="9" t="str">
        <f>IFERROR(__xludf.DUMMYFUNCTION("if(B379="""","""", REGEXEXTRACT(B379,""(.*)-.*"") &amp; ""-"" &amp; COUNTA($B$2:B379))"),"")</f>
        <v/>
      </c>
      <c r="B379" s="16"/>
      <c r="C379" s="16"/>
      <c r="D379" s="2"/>
      <c r="E379" s="2"/>
      <c r="F379" s="16"/>
      <c r="G379" s="12" t="str">
        <f t="shared" si="1"/>
        <v/>
      </c>
      <c r="H379" s="17"/>
      <c r="I379" s="16"/>
      <c r="J379" s="16"/>
      <c r="K379" s="16"/>
      <c r="L379" s="12"/>
      <c r="M379" s="16"/>
      <c r="N379" s="16"/>
      <c r="O379" s="16"/>
      <c r="P379" s="16"/>
      <c r="Q379" s="16"/>
      <c r="R379" s="16"/>
      <c r="S379" s="16"/>
      <c r="T379" s="2"/>
      <c r="U379" s="2"/>
      <c r="V379" s="17"/>
      <c r="W379" s="4" t="str">
        <f t="shared" si="2"/>
        <v>,,,,,,,,,,,,,,,,,,,,,12-30-1899</v>
      </c>
      <c r="X379" s="15"/>
      <c r="Y379" s="15"/>
      <c r="Z379" s="15"/>
      <c r="AA379" s="15"/>
      <c r="AB379" s="15"/>
    </row>
    <row r="380" ht="15.75" customHeight="1">
      <c r="A380" s="9" t="str">
        <f>IFERROR(__xludf.DUMMYFUNCTION("if(B380="""","""", REGEXEXTRACT(B380,""(.*)-.*"") &amp; ""-"" &amp; COUNTA($B$2:B380))"),"")</f>
        <v/>
      </c>
      <c r="B380" s="16"/>
      <c r="C380" s="16"/>
      <c r="D380" s="2"/>
      <c r="E380" s="2"/>
      <c r="F380" s="16"/>
      <c r="G380" s="12" t="str">
        <f t="shared" si="1"/>
        <v/>
      </c>
      <c r="H380" s="17"/>
      <c r="I380" s="16"/>
      <c r="J380" s="16"/>
      <c r="K380" s="16"/>
      <c r="L380" s="12"/>
      <c r="M380" s="16"/>
      <c r="N380" s="16"/>
      <c r="O380" s="16"/>
      <c r="P380" s="16"/>
      <c r="Q380" s="16"/>
      <c r="R380" s="16"/>
      <c r="S380" s="16"/>
      <c r="T380" s="2"/>
      <c r="U380" s="2"/>
      <c r="V380" s="17"/>
      <c r="W380" s="4" t="str">
        <f t="shared" si="2"/>
        <v>,,,,,,,,,,,,,,,,,,,,,12-30-1899</v>
      </c>
      <c r="X380" s="15"/>
      <c r="Y380" s="15"/>
      <c r="Z380" s="15"/>
      <c r="AA380" s="15"/>
      <c r="AB380" s="15"/>
    </row>
    <row r="381" ht="15.75" customHeight="1">
      <c r="A381" s="9" t="str">
        <f>IFERROR(__xludf.DUMMYFUNCTION("if(B381="""","""", REGEXEXTRACT(B381,""(.*)-.*"") &amp; ""-"" &amp; COUNTA($B$2:B381))"),"")</f>
        <v/>
      </c>
      <c r="B381" s="16"/>
      <c r="C381" s="16"/>
      <c r="D381" s="2"/>
      <c r="E381" s="2"/>
      <c r="F381" s="16"/>
      <c r="G381" s="12" t="str">
        <f t="shared" si="1"/>
        <v/>
      </c>
      <c r="H381" s="17"/>
      <c r="I381" s="16"/>
      <c r="J381" s="16"/>
      <c r="K381" s="16"/>
      <c r="L381" s="12"/>
      <c r="M381" s="16"/>
      <c r="N381" s="16"/>
      <c r="O381" s="16"/>
      <c r="P381" s="16"/>
      <c r="Q381" s="16"/>
      <c r="R381" s="16"/>
      <c r="S381" s="16"/>
      <c r="T381" s="2"/>
      <c r="U381" s="2"/>
      <c r="V381" s="17"/>
      <c r="W381" s="4" t="str">
        <f t="shared" si="2"/>
        <v>,,,,,,,,,,,,,,,,,,,,,12-30-1899</v>
      </c>
      <c r="X381" s="15"/>
      <c r="Y381" s="15"/>
      <c r="Z381" s="15"/>
      <c r="AA381" s="15"/>
      <c r="AB381" s="15"/>
    </row>
    <row r="382" ht="15.75" customHeight="1">
      <c r="A382" s="9" t="str">
        <f>IFERROR(__xludf.DUMMYFUNCTION("if(B382="""","""", REGEXEXTRACT(B382,""(.*)-.*"") &amp; ""-"" &amp; COUNTA($B$2:B382))"),"")</f>
        <v/>
      </c>
      <c r="B382" s="16"/>
      <c r="C382" s="16"/>
      <c r="D382" s="2"/>
      <c r="E382" s="2"/>
      <c r="F382" s="16"/>
      <c r="G382" s="12" t="str">
        <f t="shared" si="1"/>
        <v/>
      </c>
      <c r="H382" s="17"/>
      <c r="I382" s="16"/>
      <c r="J382" s="16"/>
      <c r="K382" s="16"/>
      <c r="L382" s="12"/>
      <c r="M382" s="16"/>
      <c r="N382" s="16"/>
      <c r="O382" s="16"/>
      <c r="P382" s="16"/>
      <c r="Q382" s="16"/>
      <c r="R382" s="16"/>
      <c r="S382" s="16"/>
      <c r="T382" s="2"/>
      <c r="U382" s="2"/>
      <c r="V382" s="17"/>
      <c r="W382" s="4" t="str">
        <f t="shared" si="2"/>
        <v>,,,,,,,,,,,,,,,,,,,,,12-30-1899</v>
      </c>
      <c r="X382" s="15"/>
      <c r="Y382" s="15"/>
      <c r="Z382" s="15"/>
      <c r="AA382" s="15"/>
      <c r="AB382" s="15"/>
    </row>
    <row r="383" ht="15.75" customHeight="1">
      <c r="A383" s="9" t="str">
        <f>IFERROR(__xludf.DUMMYFUNCTION("if(B383="""","""", REGEXEXTRACT(B383,""(.*)-.*"") &amp; ""-"" &amp; COUNTA($B$2:B383))"),"")</f>
        <v/>
      </c>
      <c r="B383" s="16"/>
      <c r="C383" s="16"/>
      <c r="D383" s="2"/>
      <c r="E383" s="2"/>
      <c r="F383" s="16"/>
      <c r="G383" s="12" t="str">
        <f t="shared" si="1"/>
        <v/>
      </c>
      <c r="H383" s="17"/>
      <c r="I383" s="16"/>
      <c r="J383" s="16"/>
      <c r="K383" s="16"/>
      <c r="L383" s="12"/>
      <c r="M383" s="16"/>
      <c r="N383" s="16"/>
      <c r="O383" s="16"/>
      <c r="P383" s="16"/>
      <c r="Q383" s="16"/>
      <c r="R383" s="16"/>
      <c r="S383" s="16"/>
      <c r="T383" s="2"/>
      <c r="U383" s="2"/>
      <c r="V383" s="17"/>
      <c r="W383" s="4" t="str">
        <f t="shared" si="2"/>
        <v>,,,,,,,,,,,,,,,,,,,,,12-30-1899</v>
      </c>
      <c r="X383" s="15"/>
      <c r="Y383" s="15"/>
      <c r="Z383" s="15"/>
      <c r="AA383" s="15"/>
      <c r="AB383" s="15"/>
    </row>
    <row r="384" ht="15.75" customHeight="1">
      <c r="A384" s="9" t="str">
        <f>IFERROR(__xludf.DUMMYFUNCTION("if(B384="""","""", REGEXEXTRACT(B384,""(.*)-.*"") &amp; ""-"" &amp; COUNTA($B$2:B384))"),"")</f>
        <v/>
      </c>
      <c r="B384" s="16"/>
      <c r="C384" s="16"/>
      <c r="D384" s="2"/>
      <c r="E384" s="2"/>
      <c r="F384" s="16"/>
      <c r="G384" s="12" t="str">
        <f t="shared" si="1"/>
        <v/>
      </c>
      <c r="H384" s="17"/>
      <c r="I384" s="16"/>
      <c r="J384" s="16"/>
      <c r="K384" s="16"/>
      <c r="L384" s="12"/>
      <c r="M384" s="16"/>
      <c r="N384" s="16"/>
      <c r="O384" s="16"/>
      <c r="P384" s="16"/>
      <c r="Q384" s="16"/>
      <c r="R384" s="16"/>
      <c r="S384" s="16"/>
      <c r="T384" s="2"/>
      <c r="U384" s="2"/>
      <c r="V384" s="17"/>
      <c r="W384" s="4" t="str">
        <f t="shared" si="2"/>
        <v>,,,,,,,,,,,,,,,,,,,,,12-30-1899</v>
      </c>
      <c r="X384" s="15"/>
      <c r="Y384" s="15"/>
      <c r="Z384" s="15"/>
      <c r="AA384" s="15"/>
      <c r="AB384" s="15"/>
    </row>
    <row r="385" ht="15.75" customHeight="1">
      <c r="A385" s="9" t="str">
        <f>IFERROR(__xludf.DUMMYFUNCTION("if(B385="""","""", REGEXEXTRACT(B385,""(.*)-.*"") &amp; ""-"" &amp; COUNTA($B$2:B385))"),"")</f>
        <v/>
      </c>
      <c r="B385" s="16"/>
      <c r="C385" s="16"/>
      <c r="D385" s="2"/>
      <c r="E385" s="2"/>
      <c r="F385" s="16"/>
      <c r="G385" s="12" t="str">
        <f t="shared" si="1"/>
        <v/>
      </c>
      <c r="H385" s="17"/>
      <c r="I385" s="16"/>
      <c r="J385" s="16"/>
      <c r="K385" s="16"/>
      <c r="L385" s="12"/>
      <c r="M385" s="16"/>
      <c r="N385" s="16"/>
      <c r="O385" s="16"/>
      <c r="P385" s="16"/>
      <c r="Q385" s="16"/>
      <c r="R385" s="16"/>
      <c r="S385" s="16"/>
      <c r="T385" s="2"/>
      <c r="U385" s="2"/>
      <c r="V385" s="17"/>
      <c r="W385" s="4" t="str">
        <f t="shared" si="2"/>
        <v>,,,,,,,,,,,,,,,,,,,,,12-30-1899</v>
      </c>
      <c r="X385" s="15"/>
      <c r="Y385" s="15"/>
      <c r="Z385" s="15"/>
      <c r="AA385" s="15"/>
      <c r="AB385" s="15"/>
    </row>
    <row r="386" ht="15.75" customHeight="1">
      <c r="A386" s="9" t="str">
        <f>IFERROR(__xludf.DUMMYFUNCTION("if(B386="""","""", REGEXEXTRACT(B386,""(.*)-.*"") &amp; ""-"" &amp; COUNTA($B$2:B386))"),"")</f>
        <v/>
      </c>
      <c r="B386" s="16"/>
      <c r="C386" s="16"/>
      <c r="D386" s="2"/>
      <c r="E386" s="2"/>
      <c r="F386" s="16"/>
      <c r="G386" s="12" t="str">
        <f t="shared" si="1"/>
        <v/>
      </c>
      <c r="H386" s="17"/>
      <c r="I386" s="16"/>
      <c r="J386" s="16"/>
      <c r="K386" s="16"/>
      <c r="L386" s="12"/>
      <c r="M386" s="16"/>
      <c r="N386" s="16"/>
      <c r="O386" s="16"/>
      <c r="P386" s="16"/>
      <c r="Q386" s="16"/>
      <c r="R386" s="16"/>
      <c r="S386" s="16"/>
      <c r="T386" s="2"/>
      <c r="U386" s="2"/>
      <c r="V386" s="17"/>
      <c r="W386" s="4" t="str">
        <f t="shared" si="2"/>
        <v>,,,,,,,,,,,,,,,,,,,,,12-30-1899</v>
      </c>
      <c r="X386" s="15"/>
      <c r="Y386" s="15"/>
      <c r="Z386" s="15"/>
      <c r="AA386" s="15"/>
      <c r="AB386" s="15"/>
    </row>
    <row r="387" ht="15.75" customHeight="1">
      <c r="A387" s="9" t="str">
        <f>IFERROR(__xludf.DUMMYFUNCTION("if(B387="""","""", REGEXEXTRACT(B387,""(.*)-.*"") &amp; ""-"" &amp; COUNTA($B$2:B387))"),"")</f>
        <v/>
      </c>
      <c r="B387" s="16"/>
      <c r="C387" s="16"/>
      <c r="D387" s="2"/>
      <c r="E387" s="2"/>
      <c r="F387" s="16"/>
      <c r="G387" s="12" t="str">
        <f t="shared" si="1"/>
        <v/>
      </c>
      <c r="H387" s="17"/>
      <c r="I387" s="16"/>
      <c r="J387" s="16"/>
      <c r="K387" s="16"/>
      <c r="L387" s="12"/>
      <c r="M387" s="16"/>
      <c r="N387" s="16"/>
      <c r="O387" s="16"/>
      <c r="P387" s="16"/>
      <c r="Q387" s="16"/>
      <c r="R387" s="16"/>
      <c r="S387" s="16"/>
      <c r="T387" s="2"/>
      <c r="U387" s="2"/>
      <c r="V387" s="17"/>
      <c r="W387" s="4" t="str">
        <f t="shared" si="2"/>
        <v>,,,,,,,,,,,,,,,,,,,,,12-30-1899</v>
      </c>
      <c r="X387" s="15"/>
      <c r="Y387" s="15"/>
      <c r="Z387" s="15"/>
      <c r="AA387" s="15"/>
      <c r="AB387" s="15"/>
    </row>
  </sheetData>
  <dataValidations>
    <dataValidation type="list" allowBlank="1" showErrorMessage="1" sqref="E2:E187 E200:E387">
      <formula1>"liquid,aggregate,hide"</formula1>
    </dataValidation>
    <dataValidation type="decimal" operator="greaterThanOrEqual" allowBlank="1" showDropDown="1" showErrorMessage="1" sqref="I2:K387 M2:Q387 S2:S387">
      <formula1>0.0</formula1>
    </dataValidation>
    <dataValidation type="list" allowBlank="1" sqref="T2:T387">
      <formula1>dropdown!$C$2:$C387</formula1>
    </dataValidation>
    <dataValidation type="list" allowBlank="1" showErrorMessage="1" sqref="B2:B387">
      <formula1>dropdown!$A$2:$A387</formula1>
    </dataValidation>
    <dataValidation type="date" allowBlank="1" showDropDown="1" showErrorMessage="1" sqref="H2:H387 V2:V387">
      <formula1>45292.0</formula1>
      <formula2>47484.0</formula2>
    </dataValidation>
    <dataValidation type="list" allowBlank="1" showErrorMessage="1" sqref="D2:D387">
      <formula1>"sample,standard,blank_control,control"</formula1>
    </dataValidation>
    <dataValidation type="list" allowBlank="1" sqref="G2:G387">
      <formula1>dropdown!$D$2:$D387</formula1>
    </dataValidation>
    <dataValidation type="list" allowBlank="1" sqref="U2:U387">
      <formula1>dropdown!$B$2:$B387</formula1>
    </dataValidation>
    <dataValidation type="list" allowBlank="1" showErrorMessage="1" sqref="E188:E199">
      <formula1>"liquid,aggregrate,hide"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78"/>
  </cols>
  <sheetData>
    <row r="1" ht="15.75" customHeight="1">
      <c r="A1" s="35"/>
      <c r="B1" s="36">
        <v>1.0</v>
      </c>
      <c r="C1" s="36">
        <v>2.0</v>
      </c>
      <c r="D1" s="36">
        <v>3.0</v>
      </c>
      <c r="E1" s="36">
        <v>4.0</v>
      </c>
      <c r="F1" s="36">
        <v>5.0</v>
      </c>
      <c r="G1" s="36">
        <v>6.0</v>
      </c>
      <c r="H1" s="36">
        <v>7.0</v>
      </c>
      <c r="I1" s="36">
        <v>8.0</v>
      </c>
      <c r="J1" s="36">
        <v>9.0</v>
      </c>
      <c r="K1" s="36">
        <v>10.0</v>
      </c>
      <c r="L1" s="36">
        <v>11.0</v>
      </c>
      <c r="M1" s="36">
        <v>12.0</v>
      </c>
    </row>
    <row r="2" ht="54.0" customHeight="1">
      <c r="A2" s="36" t="s">
        <v>233</v>
      </c>
      <c r="B2" s="37" t="str">
        <f>Samples!W2</f>
        <v>HP185-1,HP185-20240613,BDF 50uM AA2P scaffolds 1-4, D3 Ind #1,sample,liquid,EXP135,BDF 50uM AA2P scaffolds 1-4, D3 Ind #1,,1,,200,4,20,,,,,DS,,,,06-13-2024</v>
      </c>
      <c r="C2" s="37" t="str">
        <f>Samples!W3</f>
        <v>HP185-2,HP185-20240613,BDF 200uM AA2P scaffolds 1-4, D3 Ind #1,sample,liquid,EXP135,BDF 200uM AA2P scaffolds 1-4, D3 Ind #1,,1,,200,4,20,,,,,DS,,,,06-13-2024</v>
      </c>
      <c r="D2" s="37" t="str">
        <f>Samples!W4</f>
        <v>HP185-3,HP185-20240613,BDF 50uM AA2P scaffolds 1-4, D5 Ind #1,sample,liquid,EXP135,BDF 50uM AA2P scaffolds 1-4, D5 Ind #1,,1,,200,4,20,,,,,DS,,,,06-13-2024</v>
      </c>
      <c r="E2" s="37" t="str">
        <f>Samples!W5</f>
        <v>HP185-4,HP185-20240613,BDF 200uM AA2P scaffolds 1-4, D5 Ind #1,sample,liquid,EXP135,BDF 200uM AA2P scaffolds 1-4, D5 Ind #1,,1,,200,4,20,,,,,DS,,,,06-13-2024</v>
      </c>
      <c r="F2" s="37" t="str">
        <f>Samples!W6</f>
        <v>HP185-5,HP185-20240613,BDF 50uM AA2P scaffolds 1-4, D7 Ind #1,sample,liquid,EXP135,BDF 50uM AA2P scaffolds 1-4, D7 Ind #1,,1,,200,4,20,,,,,DS,,,,06-13-2024</v>
      </c>
      <c r="G2" s="37" t="str">
        <f>Samples!W7</f>
        <v>HP185-6,HP185-20240613,BDF 200uM AA2P scaffolds 1-4, D7 Ind #1,sample,liquid,EXP135,BDF 200uM AA2P scaffolds 1-4, D7 Ind #1,,1,,200,4,20,,,,,DS,,,,06-13-2024</v>
      </c>
      <c r="H2" s="37" t="str">
        <f>Samples!W8</f>
        <v>HP185-7,HP185-20240613,BDF 50uM AA2P scaffolds 1-4, D3 Ind #2,sample,liquid,EXP135,BDF 50uM AA2P scaffolds 1-4, D3 Ind #2,,1,,200,4,20,,,,,DS,,,,06-13-2024</v>
      </c>
      <c r="I2" s="37" t="str">
        <f>Samples!W9</f>
        <v>HP185-8,HP185-20240613,BDF 200uM AA2P scaffolds 1-4, D3 Ind #2,sample,liquid,EXP135,BDF 200uM AA2P scaffolds 1-4, D3 Ind #2,,1,,200,4,20,,,,,DS,,,,06-13-2024</v>
      </c>
      <c r="J2" s="37" t="str">
        <f>Samples!W10</f>
        <v>HP185-9,HP185-20240613,BDF 50uM AA2P scaffolds 1-4, D5 Ind #2,sample,liquid,EXP135,BDF 50uM AA2P scaffolds 1-4, D5 Ind #2,,1,,200,4,20,,,,,DS,,,,06-13-2024</v>
      </c>
      <c r="K2" s="37" t="str">
        <f>Samples!W11</f>
        <v>HP185-10,HP185-20240613,BDF 200uM AA2P scaffolds 1-4, D5 Ind #2,sample,liquid,EXP135,BDF 200uM AA2P scaffolds 1-4, D5 Ind #2,,1,,200,4,20,,,,,DS,,,,06-13-2024</v>
      </c>
      <c r="L2" s="37" t="str">
        <f>Samples!W12</f>
        <v>HP185-11,HP185-20240613,BDF 50uM AA2P scaffolds 1-4, D7 Ind #2,sample,liquid,EXP135,BDF 50uM AA2P scaffolds 1-4, D7 Ind #2,,1,,200,4,20,,,,,DS,,,,06-13-2024</v>
      </c>
      <c r="M2" s="37" t="str">
        <f>Samples!W13</f>
        <v>HP185-12,HP185-20240613,BDF 200uM AA2P scaffolds 1-4, D7 Ind #2,sample,liquid,EXP135,BDF 200uM AA2P scaffolds 1-4, D7 Ind #2,,1,,200,4,20,,,,,DS,,,,06-13-2024</v>
      </c>
    </row>
    <row r="3" ht="54.0" customHeight="1">
      <c r="A3" s="36" t="s">
        <v>234</v>
      </c>
      <c r="B3" s="37" t="str">
        <f>Samples!W2</f>
        <v>HP185-1,HP185-20240613,BDF 50uM AA2P scaffolds 1-4, D3 Ind #1,sample,liquid,EXP135,BDF 50uM AA2P scaffolds 1-4, D3 Ind #1,,1,,200,4,20,,,,,DS,,,,06-13-2024</v>
      </c>
      <c r="C3" s="37" t="str">
        <f>Samples!W3</f>
        <v>HP185-2,HP185-20240613,BDF 200uM AA2P scaffolds 1-4, D3 Ind #1,sample,liquid,EXP135,BDF 200uM AA2P scaffolds 1-4, D3 Ind #1,,1,,200,4,20,,,,,DS,,,,06-13-2024</v>
      </c>
      <c r="D3" s="37" t="str">
        <f>Samples!W4</f>
        <v>HP185-3,HP185-20240613,BDF 50uM AA2P scaffolds 1-4, D5 Ind #1,sample,liquid,EXP135,BDF 50uM AA2P scaffolds 1-4, D5 Ind #1,,1,,200,4,20,,,,,DS,,,,06-13-2024</v>
      </c>
      <c r="E3" s="37" t="str">
        <f>Samples!W5</f>
        <v>HP185-4,HP185-20240613,BDF 200uM AA2P scaffolds 1-4, D5 Ind #1,sample,liquid,EXP135,BDF 200uM AA2P scaffolds 1-4, D5 Ind #1,,1,,200,4,20,,,,,DS,,,,06-13-2024</v>
      </c>
      <c r="F3" s="37" t="str">
        <f>Samples!W6</f>
        <v>HP185-5,HP185-20240613,BDF 50uM AA2P scaffolds 1-4, D7 Ind #1,sample,liquid,EXP135,BDF 50uM AA2P scaffolds 1-4, D7 Ind #1,,1,,200,4,20,,,,,DS,,,,06-13-2024</v>
      </c>
      <c r="G3" s="37" t="str">
        <f>Samples!W7</f>
        <v>HP185-6,HP185-20240613,BDF 200uM AA2P scaffolds 1-4, D7 Ind #1,sample,liquid,EXP135,BDF 200uM AA2P scaffolds 1-4, D7 Ind #1,,1,,200,4,20,,,,,DS,,,,06-13-2024</v>
      </c>
      <c r="H3" s="37" t="str">
        <f>Samples!W8</f>
        <v>HP185-7,HP185-20240613,BDF 50uM AA2P scaffolds 1-4, D3 Ind #2,sample,liquid,EXP135,BDF 50uM AA2P scaffolds 1-4, D3 Ind #2,,1,,200,4,20,,,,,DS,,,,06-13-2024</v>
      </c>
      <c r="I3" s="37" t="str">
        <f>Samples!W9</f>
        <v>HP185-8,HP185-20240613,BDF 200uM AA2P scaffolds 1-4, D3 Ind #2,sample,liquid,EXP135,BDF 200uM AA2P scaffolds 1-4, D3 Ind #2,,1,,200,4,20,,,,,DS,,,,06-13-2024</v>
      </c>
      <c r="J3" s="37" t="str">
        <f>Samples!W10</f>
        <v>HP185-9,HP185-20240613,BDF 50uM AA2P scaffolds 1-4, D5 Ind #2,sample,liquid,EXP135,BDF 50uM AA2P scaffolds 1-4, D5 Ind #2,,1,,200,4,20,,,,,DS,,,,06-13-2024</v>
      </c>
      <c r="K3" s="37" t="str">
        <f>Samples!W11</f>
        <v>HP185-10,HP185-20240613,BDF 200uM AA2P scaffolds 1-4, D5 Ind #2,sample,liquid,EXP135,BDF 200uM AA2P scaffolds 1-4, D5 Ind #2,,1,,200,4,20,,,,,DS,,,,06-13-2024</v>
      </c>
      <c r="L3" s="37" t="str">
        <f>Samples!W12</f>
        <v>HP185-11,HP185-20240613,BDF 50uM AA2P scaffolds 1-4, D7 Ind #2,sample,liquid,EXP135,BDF 50uM AA2P scaffolds 1-4, D7 Ind #2,,1,,200,4,20,,,,,DS,,,,06-13-2024</v>
      </c>
      <c r="M3" s="37" t="str">
        <f>Samples!W13</f>
        <v>HP185-12,HP185-20240613,BDF 200uM AA2P scaffolds 1-4, D7 Ind #2,sample,liquid,EXP135,BDF 200uM AA2P scaffolds 1-4, D7 Ind #2,,1,,200,4,20,,,,,DS,,,,06-13-2024</v>
      </c>
    </row>
    <row r="4" ht="54.0" customHeight="1">
      <c r="A4" s="36" t="s">
        <v>235</v>
      </c>
      <c r="B4" s="37" t="str">
        <f>Samples!W2</f>
        <v>HP185-1,HP185-20240613,BDF 50uM AA2P scaffolds 1-4, D3 Ind #1,sample,liquid,EXP135,BDF 50uM AA2P scaffolds 1-4, D3 Ind #1,,1,,200,4,20,,,,,DS,,,,06-13-2024</v>
      </c>
      <c r="C4" s="37" t="str">
        <f>Samples!W3</f>
        <v>HP185-2,HP185-20240613,BDF 200uM AA2P scaffolds 1-4, D3 Ind #1,sample,liquid,EXP135,BDF 200uM AA2P scaffolds 1-4, D3 Ind #1,,1,,200,4,20,,,,,DS,,,,06-13-2024</v>
      </c>
      <c r="D4" s="37" t="str">
        <f>Samples!W4</f>
        <v>HP185-3,HP185-20240613,BDF 50uM AA2P scaffolds 1-4, D5 Ind #1,sample,liquid,EXP135,BDF 50uM AA2P scaffolds 1-4, D5 Ind #1,,1,,200,4,20,,,,,DS,,,,06-13-2024</v>
      </c>
      <c r="E4" s="37" t="str">
        <f>Samples!W5</f>
        <v>HP185-4,HP185-20240613,BDF 200uM AA2P scaffolds 1-4, D5 Ind #1,sample,liquid,EXP135,BDF 200uM AA2P scaffolds 1-4, D5 Ind #1,,1,,200,4,20,,,,,DS,,,,06-13-2024</v>
      </c>
      <c r="F4" s="37" t="str">
        <f>Samples!W6</f>
        <v>HP185-5,HP185-20240613,BDF 50uM AA2P scaffolds 1-4, D7 Ind #1,sample,liquid,EXP135,BDF 50uM AA2P scaffolds 1-4, D7 Ind #1,,1,,200,4,20,,,,,DS,,,,06-13-2024</v>
      </c>
      <c r="G4" s="37" t="str">
        <f>Samples!W7</f>
        <v>HP185-6,HP185-20240613,BDF 200uM AA2P scaffolds 1-4, D7 Ind #1,sample,liquid,EXP135,BDF 200uM AA2P scaffolds 1-4, D7 Ind #1,,1,,200,4,20,,,,,DS,,,,06-13-2024</v>
      </c>
      <c r="H4" s="37" t="str">
        <f>Samples!W8</f>
        <v>HP185-7,HP185-20240613,BDF 50uM AA2P scaffolds 1-4, D3 Ind #2,sample,liquid,EXP135,BDF 50uM AA2P scaffolds 1-4, D3 Ind #2,,1,,200,4,20,,,,,DS,,,,06-13-2024</v>
      </c>
      <c r="I4" s="37" t="str">
        <f>Samples!W9</f>
        <v>HP185-8,HP185-20240613,BDF 200uM AA2P scaffolds 1-4, D3 Ind #2,sample,liquid,EXP135,BDF 200uM AA2P scaffolds 1-4, D3 Ind #2,,1,,200,4,20,,,,,DS,,,,06-13-2024</v>
      </c>
      <c r="J4" s="37" t="str">
        <f>Samples!W10</f>
        <v>HP185-9,HP185-20240613,BDF 50uM AA2P scaffolds 1-4, D5 Ind #2,sample,liquid,EXP135,BDF 50uM AA2P scaffolds 1-4, D5 Ind #2,,1,,200,4,20,,,,,DS,,,,06-13-2024</v>
      </c>
      <c r="K4" s="37" t="str">
        <f>Samples!W11</f>
        <v>HP185-10,HP185-20240613,BDF 200uM AA2P scaffolds 1-4, D5 Ind #2,sample,liquid,EXP135,BDF 200uM AA2P scaffolds 1-4, D5 Ind #2,,1,,200,4,20,,,,,DS,,,,06-13-2024</v>
      </c>
      <c r="L4" s="37" t="str">
        <f>Samples!W12</f>
        <v>HP185-11,HP185-20240613,BDF 50uM AA2P scaffolds 1-4, D7 Ind #2,sample,liquid,EXP135,BDF 50uM AA2P scaffolds 1-4, D7 Ind #2,,1,,200,4,20,,,,,DS,,,,06-13-2024</v>
      </c>
      <c r="M4" s="37" t="str">
        <f>Samples!W13</f>
        <v>HP185-12,HP185-20240613,BDF 200uM AA2P scaffolds 1-4, D7 Ind #2,sample,liquid,EXP135,BDF 200uM AA2P scaffolds 1-4, D7 Ind #2,,1,,200,4,20,,,,,DS,,,,06-13-2024</v>
      </c>
    </row>
    <row r="5" ht="54.0" customHeight="1">
      <c r="A5" s="36" t="s">
        <v>236</v>
      </c>
      <c r="B5" s="37" t="str">
        <f>Samples!W2</f>
        <v>HP185-1,HP185-20240613,BDF 50uM AA2P scaffolds 1-4, D3 Ind #1,sample,liquid,EXP135,BDF 50uM AA2P scaffolds 1-4, D3 Ind #1,,1,,200,4,20,,,,,DS,,,,06-13-2024</v>
      </c>
      <c r="C5" s="37" t="str">
        <f>Samples!W3</f>
        <v>HP185-2,HP185-20240613,BDF 200uM AA2P scaffolds 1-4, D3 Ind #1,sample,liquid,EXP135,BDF 200uM AA2P scaffolds 1-4, D3 Ind #1,,1,,200,4,20,,,,,DS,,,,06-13-2024</v>
      </c>
      <c r="D5" s="37" t="str">
        <f>Samples!W4</f>
        <v>HP185-3,HP185-20240613,BDF 50uM AA2P scaffolds 1-4, D5 Ind #1,sample,liquid,EXP135,BDF 50uM AA2P scaffolds 1-4, D5 Ind #1,,1,,200,4,20,,,,,DS,,,,06-13-2024</v>
      </c>
      <c r="E5" s="37" t="str">
        <f>Samples!W5</f>
        <v>HP185-4,HP185-20240613,BDF 200uM AA2P scaffolds 1-4, D5 Ind #1,sample,liquid,EXP135,BDF 200uM AA2P scaffolds 1-4, D5 Ind #1,,1,,200,4,20,,,,,DS,,,,06-13-2024</v>
      </c>
      <c r="F5" s="37" t="str">
        <f>Samples!W6</f>
        <v>HP185-5,HP185-20240613,BDF 50uM AA2P scaffolds 1-4, D7 Ind #1,sample,liquid,EXP135,BDF 50uM AA2P scaffolds 1-4, D7 Ind #1,,1,,200,4,20,,,,,DS,,,,06-13-2024</v>
      </c>
      <c r="G5" s="37" t="str">
        <f>Samples!W7</f>
        <v>HP185-6,HP185-20240613,BDF 200uM AA2P scaffolds 1-4, D7 Ind #1,sample,liquid,EXP135,BDF 200uM AA2P scaffolds 1-4, D7 Ind #1,,1,,200,4,20,,,,,DS,,,,06-13-2024</v>
      </c>
      <c r="H5" s="37" t="str">
        <f>Samples!W8</f>
        <v>HP185-7,HP185-20240613,BDF 50uM AA2P scaffolds 1-4, D3 Ind #2,sample,liquid,EXP135,BDF 50uM AA2P scaffolds 1-4, D3 Ind #2,,1,,200,4,20,,,,,DS,,,,06-13-2024</v>
      </c>
      <c r="I5" s="37" t="str">
        <f>Samples!W9</f>
        <v>HP185-8,HP185-20240613,BDF 200uM AA2P scaffolds 1-4, D3 Ind #2,sample,liquid,EXP135,BDF 200uM AA2P scaffolds 1-4, D3 Ind #2,,1,,200,4,20,,,,,DS,,,,06-13-2024</v>
      </c>
      <c r="J5" s="37" t="str">
        <f>Samples!W10</f>
        <v>HP185-9,HP185-20240613,BDF 50uM AA2P scaffolds 1-4, D5 Ind #2,sample,liquid,EXP135,BDF 50uM AA2P scaffolds 1-4, D5 Ind #2,,1,,200,4,20,,,,,DS,,,,06-13-2024</v>
      </c>
      <c r="K5" s="37" t="str">
        <f>Samples!W11</f>
        <v>HP185-10,HP185-20240613,BDF 200uM AA2P scaffolds 1-4, D5 Ind #2,sample,liquid,EXP135,BDF 200uM AA2P scaffolds 1-4, D5 Ind #2,,1,,200,4,20,,,,,DS,,,,06-13-2024</v>
      </c>
      <c r="L5" s="37" t="str">
        <f>Samples!W12</f>
        <v>HP185-11,HP185-20240613,BDF 50uM AA2P scaffolds 1-4, D7 Ind #2,sample,liquid,EXP135,BDF 50uM AA2P scaffolds 1-4, D7 Ind #2,,1,,200,4,20,,,,,DS,,,,06-13-2024</v>
      </c>
      <c r="M5" s="37" t="str">
        <f>Samples!W13</f>
        <v>HP185-12,HP185-20240613,BDF 200uM AA2P scaffolds 1-4, D7 Ind #2,sample,liquid,EXP135,BDF 200uM AA2P scaffolds 1-4, D7 Ind #2,,1,,200,4,20,,,,,DS,,,,06-13-2024</v>
      </c>
    </row>
    <row r="6" ht="54.0" customHeight="1">
      <c r="A6" s="36" t="s">
        <v>237</v>
      </c>
      <c r="B6" s="37" t="str">
        <f>Samples!W14</f>
        <v>HP185-13,HP185-20240613,BDF 50uM AA2P scaffolds 1-4, D3 Ind #3,sample,liquid,EXP135,BDF 50uM AA2P scaffolds 1-4, D3 Ind #3,,1,,200,4,20,,,,,DS,,,,06-13-2024</v>
      </c>
      <c r="C6" s="37" t="str">
        <f>Samples!W15</f>
        <v>HP185-14,HP185-20240613,BDF 200uM AA2P scaffolds 1-4, D3 Ind #3,sample,liquid,EXP135,BDF 200uM AA2P scaffolds 1-4, D3 Ind #3,,1,,200,4,20,,,,,DS,,,,06-13-2024</v>
      </c>
      <c r="D6" s="37" t="str">
        <f>Samples!W16</f>
        <v>HP185-15,HP185-20240613,BDF 50uM AA2P scaffolds 1-4, D5 Ind #3,sample,liquid,EXP135,BDF 50uM AA2P scaffolds 1-4, D5 Ind #3,,1,,200,4,20,,,,,DS,,,,06-13-2024</v>
      </c>
      <c r="E6" s="37" t="str">
        <f>Samples!W17</f>
        <v>HP185-16,HP185-20240613,BDF 200uM AA2P scaffolds 1-4, D5 Ind #3,sample,liquid,EXP135,BDF 200uM AA2P scaffolds 1-4, D5 Ind #3,,1,,200,4,20,,,,,DS,,,,06-13-2024</v>
      </c>
      <c r="F6" s="37" t="str">
        <f>Samples!W18</f>
        <v>HP185-17,HP185-20240613,BDF 50uM AA2P scaffolds 1-4, D7 Ind #3,sample,liquid,EXP135,BDF 50uM AA2P scaffolds 1-4, D7 Ind #3,,1,,200,4,20,,,,,DS,,,,06-13-2024</v>
      </c>
      <c r="G6" s="37" t="str">
        <f>Samples!W19</f>
        <v>HP185-18,HP185-20240613,BDF 200uM AA2P scaffolds 1-4, D7 Ind #3,sample,liquid,EXP135,BDF 200uM AA2P scaffolds 1-4, D7 Ind #3,,1,,200,4,20,,,,,DS,,,,06-13-2024</v>
      </c>
      <c r="H6" s="37" t="str">
        <f>Samples!W188</f>
        <v>HP185-187,HP185-20240613,Hydroxyproline St1,standard,liquid,,Hydroxyproline St1,,,,,,,,,,,DS,1,,,06-13-2024</v>
      </c>
      <c r="I6" s="37" t="str">
        <f>Samples!W189</f>
        <v>HP185-188,HP185-20240613,Hydroxyproline St2,standard,liquid,,Hydroxyproline St2,,,,,,,,,,,DS,0.8,,,06-13-2024</v>
      </c>
      <c r="J6" s="37" t="str">
        <f>Samples!W190</f>
        <v>HP185-189,HP185-20240613,Hydroxyproline St3,standard,liquid,,Hydroxyproline St3,,,,,,,,,,,DS,0.6,,,06-13-2024</v>
      </c>
      <c r="K6" s="37" t="str">
        <f>Samples!W191</f>
        <v>HP185-190,HP185-20240613,Hydroxyproline St4,standard,liquid,,Hydroxyproline St4,,,,,,,,,,,DS,0.4,,,06-13-2024</v>
      </c>
      <c r="L6" s="37" t="str">
        <f>Samples!W192</f>
        <v>HP185-191,HP185-20240613,Hydroxyproline St5,standard,liquid,,Hydroxyproline St5,,,,,,,,,,,DS,0.2,,,06-13-2024</v>
      </c>
      <c r="M6" s="37" t="str">
        <f>Samples!W193</f>
        <v>HP185-192,HP185-20240613,Hydroxyproline St6,standard,liquid,,Hydroxyproline St6,,,,,,,,,,,DS,0,,,06-13-2024</v>
      </c>
    </row>
    <row r="7" ht="54.0" customHeight="1">
      <c r="A7" s="36" t="s">
        <v>238</v>
      </c>
      <c r="B7" s="37" t="str">
        <f>Samples!W14</f>
        <v>HP185-13,HP185-20240613,BDF 50uM AA2P scaffolds 1-4, D3 Ind #3,sample,liquid,EXP135,BDF 50uM AA2P scaffolds 1-4, D3 Ind #3,,1,,200,4,20,,,,,DS,,,,06-13-2024</v>
      </c>
      <c r="C7" s="37" t="str">
        <f>Samples!W15</f>
        <v>HP185-14,HP185-20240613,BDF 200uM AA2P scaffolds 1-4, D3 Ind #3,sample,liquid,EXP135,BDF 200uM AA2P scaffolds 1-4, D3 Ind #3,,1,,200,4,20,,,,,DS,,,,06-13-2024</v>
      </c>
      <c r="D7" s="37" t="str">
        <f>Samples!W16</f>
        <v>HP185-15,HP185-20240613,BDF 50uM AA2P scaffolds 1-4, D5 Ind #3,sample,liquid,EXP135,BDF 50uM AA2P scaffolds 1-4, D5 Ind #3,,1,,200,4,20,,,,,DS,,,,06-13-2024</v>
      </c>
      <c r="E7" s="37" t="str">
        <f>Samples!W17</f>
        <v>HP185-16,HP185-20240613,BDF 200uM AA2P scaffolds 1-4, D5 Ind #3,sample,liquid,EXP135,BDF 200uM AA2P scaffolds 1-4, D5 Ind #3,,1,,200,4,20,,,,,DS,,,,06-13-2024</v>
      </c>
      <c r="F7" s="37" t="str">
        <f>Samples!W18</f>
        <v>HP185-17,HP185-20240613,BDF 50uM AA2P scaffolds 1-4, D7 Ind #3,sample,liquid,EXP135,BDF 50uM AA2P scaffolds 1-4, D7 Ind #3,,1,,200,4,20,,,,,DS,,,,06-13-2024</v>
      </c>
      <c r="G7" s="37" t="str">
        <f>Samples!W19</f>
        <v>HP185-18,HP185-20240613,BDF 200uM AA2P scaffolds 1-4, D7 Ind #3,sample,liquid,EXP135,BDF 200uM AA2P scaffolds 1-4, D7 Ind #3,,1,,200,4,20,,,,,DS,,,,06-13-2024</v>
      </c>
      <c r="H7" s="37" t="str">
        <f>Samples!W188</f>
        <v>HP185-187,HP185-20240613,Hydroxyproline St1,standard,liquid,,Hydroxyproline St1,,,,,,,,,,,DS,1,,,06-13-2024</v>
      </c>
      <c r="I7" s="37" t="str">
        <f>Samples!W189</f>
        <v>HP185-188,HP185-20240613,Hydroxyproline St2,standard,liquid,,Hydroxyproline St2,,,,,,,,,,,DS,0.8,,,06-13-2024</v>
      </c>
      <c r="J7" s="37" t="str">
        <f>Samples!W190</f>
        <v>HP185-189,HP185-20240613,Hydroxyproline St3,standard,liquid,,Hydroxyproline St3,,,,,,,,,,,DS,0.6,,,06-13-2024</v>
      </c>
      <c r="K7" s="37" t="str">
        <f>Samples!W191</f>
        <v>HP185-190,HP185-20240613,Hydroxyproline St4,standard,liquid,,Hydroxyproline St4,,,,,,,,,,,DS,0.4,,,06-13-2024</v>
      </c>
      <c r="L7" s="37" t="str">
        <f>Samples!W192</f>
        <v>HP185-191,HP185-20240613,Hydroxyproline St5,standard,liquid,,Hydroxyproline St5,,,,,,,,,,,DS,0.2,,,06-13-2024</v>
      </c>
      <c r="M7" s="37" t="str">
        <f>Samples!W193</f>
        <v>HP185-192,HP185-20240613,Hydroxyproline St6,standard,liquid,,Hydroxyproline St6,,,,,,,,,,,DS,0,,,06-13-2024</v>
      </c>
    </row>
    <row r="8" ht="54.0" customHeight="1">
      <c r="A8" s="36" t="s">
        <v>239</v>
      </c>
      <c r="B8" s="37" t="str">
        <f>Samples!W14</f>
        <v>HP185-13,HP185-20240613,BDF 50uM AA2P scaffolds 1-4, D3 Ind #3,sample,liquid,EXP135,BDF 50uM AA2P scaffolds 1-4, D3 Ind #3,,1,,200,4,20,,,,,DS,,,,06-13-2024</v>
      </c>
      <c r="C8" s="37" t="str">
        <f>Samples!W15</f>
        <v>HP185-14,HP185-20240613,BDF 200uM AA2P scaffolds 1-4, D3 Ind #3,sample,liquid,EXP135,BDF 200uM AA2P scaffolds 1-4, D3 Ind #3,,1,,200,4,20,,,,,DS,,,,06-13-2024</v>
      </c>
      <c r="D8" s="37" t="str">
        <f>Samples!W16</f>
        <v>HP185-15,HP185-20240613,BDF 50uM AA2P scaffolds 1-4, D5 Ind #3,sample,liquid,EXP135,BDF 50uM AA2P scaffolds 1-4, D5 Ind #3,,1,,200,4,20,,,,,DS,,,,06-13-2024</v>
      </c>
      <c r="E8" s="37" t="str">
        <f>Samples!W17</f>
        <v>HP185-16,HP185-20240613,BDF 200uM AA2P scaffolds 1-4, D5 Ind #3,sample,liquid,EXP135,BDF 200uM AA2P scaffolds 1-4, D5 Ind #3,,1,,200,4,20,,,,,DS,,,,06-13-2024</v>
      </c>
      <c r="F8" s="37" t="str">
        <f>Samples!W18</f>
        <v>HP185-17,HP185-20240613,BDF 50uM AA2P scaffolds 1-4, D7 Ind #3,sample,liquid,EXP135,BDF 50uM AA2P scaffolds 1-4, D7 Ind #3,,1,,200,4,20,,,,,DS,,,,06-13-2024</v>
      </c>
      <c r="G8" s="37" t="str">
        <f>Samples!W19</f>
        <v>HP185-18,HP185-20240613,BDF 200uM AA2P scaffolds 1-4, D7 Ind #3,sample,liquid,EXP135,BDF 200uM AA2P scaffolds 1-4, D7 Ind #3,,1,,200,4,20,,,,,DS,,,,06-13-2024</v>
      </c>
      <c r="H8" s="38"/>
      <c r="I8" s="38"/>
      <c r="J8" s="38"/>
      <c r="K8" s="38"/>
      <c r="L8" s="38"/>
      <c r="M8" s="38"/>
    </row>
    <row r="9" ht="54.0" customHeight="1">
      <c r="A9" s="36" t="s">
        <v>240</v>
      </c>
      <c r="B9" s="37" t="str">
        <f>Samples!W14</f>
        <v>HP185-13,HP185-20240613,BDF 50uM AA2P scaffolds 1-4, D3 Ind #3,sample,liquid,EXP135,BDF 50uM AA2P scaffolds 1-4, D3 Ind #3,,1,,200,4,20,,,,,DS,,,,06-13-2024</v>
      </c>
      <c r="C9" s="37" t="str">
        <f>Samples!W15</f>
        <v>HP185-14,HP185-20240613,BDF 200uM AA2P scaffolds 1-4, D3 Ind #3,sample,liquid,EXP135,BDF 200uM AA2P scaffolds 1-4, D3 Ind #3,,1,,200,4,20,,,,,DS,,,,06-13-2024</v>
      </c>
      <c r="D9" s="37" t="str">
        <f>Samples!W16</f>
        <v>HP185-15,HP185-20240613,BDF 50uM AA2P scaffolds 1-4, D5 Ind #3,sample,liquid,EXP135,BDF 50uM AA2P scaffolds 1-4, D5 Ind #3,,1,,200,4,20,,,,,DS,,,,06-13-2024</v>
      </c>
      <c r="E9" s="37" t="str">
        <f>Samples!W17</f>
        <v>HP185-16,HP185-20240613,BDF 200uM AA2P scaffolds 1-4, D5 Ind #3,sample,liquid,EXP135,BDF 200uM AA2P scaffolds 1-4, D5 Ind #3,,1,,200,4,20,,,,,DS,,,,06-13-2024</v>
      </c>
      <c r="F9" s="37" t="str">
        <f>Samples!W18</f>
        <v>HP185-17,HP185-20240613,BDF 50uM AA2P scaffolds 1-4, D7 Ind #3,sample,liquid,EXP135,BDF 50uM AA2P scaffolds 1-4, D7 Ind #3,,1,,200,4,20,,,,,DS,,,,06-13-2024</v>
      </c>
      <c r="G9" s="37" t="str">
        <f>Samples!W19</f>
        <v>HP185-18,HP185-20240613,BDF 200uM AA2P scaffolds 1-4, D7 Ind #3,sample,liquid,EXP135,BDF 200uM AA2P scaffolds 1-4, D7 Ind #3,,1,,200,4,20,,,,,DS,,,,06-13-2024</v>
      </c>
      <c r="H9" s="38"/>
      <c r="I9" s="38"/>
      <c r="J9" s="38"/>
      <c r="K9" s="38"/>
      <c r="L9" s="38"/>
      <c r="M9" s="3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9.44"/>
  </cols>
  <sheetData>
    <row r="1" ht="15.75" customHeight="1">
      <c r="A1" s="36"/>
      <c r="B1" s="36">
        <v>1.0</v>
      </c>
      <c r="C1" s="36">
        <v>2.0</v>
      </c>
      <c r="D1" s="36">
        <v>3.0</v>
      </c>
      <c r="E1" s="36">
        <v>4.0</v>
      </c>
      <c r="F1" s="36">
        <v>5.0</v>
      </c>
      <c r="G1" s="36">
        <v>6.0</v>
      </c>
      <c r="H1" s="36">
        <v>7.0</v>
      </c>
      <c r="I1" s="36">
        <v>8.0</v>
      </c>
      <c r="J1" s="36">
        <v>9.0</v>
      </c>
      <c r="K1" s="36">
        <v>10.0</v>
      </c>
      <c r="L1" s="36">
        <v>11.0</v>
      </c>
      <c r="M1" s="36">
        <v>12.0</v>
      </c>
    </row>
    <row r="2" ht="44.25" customHeight="1">
      <c r="A2" s="36" t="s">
        <v>233</v>
      </c>
      <c r="B2" s="37" t="str">
        <f>Samples!W20</f>
        <v>HP185-19,HP185-20240613,BDF 50uM AA2P scaffolds 1-4, D3 Ind #4,sample,liquid,EXP135,BDF 50uM AA2P scaffolds 1-4, D3 Ind #4,,1,,200,4,20,,,,,DS,,,,06-13-2024</v>
      </c>
      <c r="C2" s="37" t="str">
        <f>Samples!W21</f>
        <v>HP185-20,HP185-20240613,BDF 200uM AA2P scaffolds 1-4, D3 Ind #4,sample,liquid,EXP135,BDF 200uM AA2P scaffolds 1-4, D3 Ind #4,,1,,200,4,20,,,,,DS,,,,06-13-2024</v>
      </c>
      <c r="D2" s="37" t="str">
        <f>Samples!W22</f>
        <v>HP185-21,HP185-20240613,BDF 50uM AA2P scaffolds 1-4, D5 Ind #4,sample,liquid,EXP135,BDF 50uM AA2P scaffolds 1-4, D5 Ind #4,,1,,200,4,20,,,,,DS,,,,06-13-2024</v>
      </c>
      <c r="E2" s="37" t="str">
        <f>Samples!W23</f>
        <v>HP185-22,HP185-20240613,BDF 200uM AA2P scaffolds 1-4, D5 Ind #4,sample,liquid,EXP135,BDF 200uM AA2P scaffolds 1-4, D5 Ind #4,,1,,200,4,20,,,,,DS,,,,06-13-2024</v>
      </c>
      <c r="F2" s="37" t="str">
        <f>Samples!W24</f>
        <v>HP185-23,HP185-20240613,BDF 50uM AA2P scaffolds 1-4, D7 Ind #4,sample,liquid,EXP135,BDF 50uM AA2P scaffolds 1-4, D7 Ind #4,,1,,200,4,20,,,,,DS,,,,06-13-2024</v>
      </c>
      <c r="G2" s="37" t="str">
        <f>Samples!W25</f>
        <v>HP185-24,HP185-20240613,BDF 200uM AA2P scaffolds 1-4, D7 Ind #4,sample,liquid,EXP135,BDF 200uM AA2P scaffolds 1-4, D7 Ind #4,,1,,200,4,20,,,,,DS,,,,06-13-2024</v>
      </c>
      <c r="H2" s="37" t="str">
        <f>Samples!W26</f>
        <v>HP185-25,HP185-20240613,BDF 100uM AA2P scaffolds 1-4, D3 Ind #1,sample,liquid,EXP135,BDF 100uM AA2P scaffolds 1-4, D3 Ind #1,,1,,200,4,20,,,,,DS,,,,06-13-2024</v>
      </c>
      <c r="I2" s="37" t="str">
        <f>Samples!W27</f>
        <v>HP185-26,HP185-20240613,BDF 250uM AA2P scaffolds 1-4, D3 Ind #1,sample,liquid,EXP135,BDF 250uM AA2P scaffolds 1-4, D3 Ind #1,,1,,200,4,20,,,,,DS,,,,06-13-2024</v>
      </c>
      <c r="J2" s="37" t="str">
        <f>Samples!W28</f>
        <v>HP185-27,HP185-20240613,BDF 100uM AA2P scaffolds 1-4, D5 Ind #1,sample,liquid,EXP135,BDF 100uM AA2P scaffolds 1-4, D5 Ind #1,,1,,200,4,20,,,,,DS,,,,06-13-2024</v>
      </c>
      <c r="K2" s="37" t="str">
        <f>Samples!W29</f>
        <v>HP185-28,HP185-20240613,BDF 250uM AA2P scaffolds 1-4, D5 Ind #1,sample,liquid,EXP135,BDF 250uM AA2P scaffolds 1-4, D5 Ind #1,,1,,200,4,20,,,,,DS,,,,06-13-2024</v>
      </c>
      <c r="L2" s="37" t="str">
        <f>Samples!W30</f>
        <v>HP185-29,HP185-20240613,BDF 100uM AA2P scaffolds 1-4, D7 Ind #1,sample,liquid,EXP135,BDF 100uM AA2P scaffolds 1-4, D7 Ind #1,,1,,200,4,20,,,,,DS,,,,06-13-2024</v>
      </c>
      <c r="M2" s="37" t="str">
        <f>Samples!W31</f>
        <v>HP185-30,HP185-20240613,BDF 250uM AA2P scaffolds 1-4, D7 Ind #1,sample,liquid,EXP135,BDF 250uM AA2P scaffolds 1-4, D7 Ind #1,,1,,200,4,20,,,,,DS,,,,06-13-2024</v>
      </c>
    </row>
    <row r="3" ht="44.25" customHeight="1">
      <c r="A3" s="36" t="s">
        <v>234</v>
      </c>
      <c r="B3" s="37" t="str">
        <f>Samples!W20</f>
        <v>HP185-19,HP185-20240613,BDF 50uM AA2P scaffolds 1-4, D3 Ind #4,sample,liquid,EXP135,BDF 50uM AA2P scaffolds 1-4, D3 Ind #4,,1,,200,4,20,,,,,DS,,,,06-13-2024</v>
      </c>
      <c r="C3" s="37" t="str">
        <f>Samples!W21</f>
        <v>HP185-20,HP185-20240613,BDF 200uM AA2P scaffolds 1-4, D3 Ind #4,sample,liquid,EXP135,BDF 200uM AA2P scaffolds 1-4, D3 Ind #4,,1,,200,4,20,,,,,DS,,,,06-13-2024</v>
      </c>
      <c r="D3" s="37" t="str">
        <f>Samples!W22</f>
        <v>HP185-21,HP185-20240613,BDF 50uM AA2P scaffolds 1-4, D5 Ind #4,sample,liquid,EXP135,BDF 50uM AA2P scaffolds 1-4, D5 Ind #4,,1,,200,4,20,,,,,DS,,,,06-13-2024</v>
      </c>
      <c r="E3" s="37" t="str">
        <f>Samples!W23</f>
        <v>HP185-22,HP185-20240613,BDF 200uM AA2P scaffolds 1-4, D5 Ind #4,sample,liquid,EXP135,BDF 200uM AA2P scaffolds 1-4, D5 Ind #4,,1,,200,4,20,,,,,DS,,,,06-13-2024</v>
      </c>
      <c r="F3" s="37" t="str">
        <f>Samples!W24</f>
        <v>HP185-23,HP185-20240613,BDF 50uM AA2P scaffolds 1-4, D7 Ind #4,sample,liquid,EXP135,BDF 50uM AA2P scaffolds 1-4, D7 Ind #4,,1,,200,4,20,,,,,DS,,,,06-13-2024</v>
      </c>
      <c r="G3" s="37" t="str">
        <f>Samples!W25</f>
        <v>HP185-24,HP185-20240613,BDF 200uM AA2P scaffolds 1-4, D7 Ind #4,sample,liquid,EXP135,BDF 200uM AA2P scaffolds 1-4, D7 Ind #4,,1,,200,4,20,,,,,DS,,,,06-13-2024</v>
      </c>
      <c r="H3" s="37" t="str">
        <f>Samples!W26</f>
        <v>HP185-25,HP185-20240613,BDF 100uM AA2P scaffolds 1-4, D3 Ind #1,sample,liquid,EXP135,BDF 100uM AA2P scaffolds 1-4, D3 Ind #1,,1,,200,4,20,,,,,DS,,,,06-13-2024</v>
      </c>
      <c r="I3" s="37" t="str">
        <f>Samples!W27</f>
        <v>HP185-26,HP185-20240613,BDF 250uM AA2P scaffolds 1-4, D3 Ind #1,sample,liquid,EXP135,BDF 250uM AA2P scaffolds 1-4, D3 Ind #1,,1,,200,4,20,,,,,DS,,,,06-13-2024</v>
      </c>
      <c r="J3" s="37" t="str">
        <f>Samples!W28</f>
        <v>HP185-27,HP185-20240613,BDF 100uM AA2P scaffolds 1-4, D5 Ind #1,sample,liquid,EXP135,BDF 100uM AA2P scaffolds 1-4, D5 Ind #1,,1,,200,4,20,,,,,DS,,,,06-13-2024</v>
      </c>
      <c r="K3" s="37" t="str">
        <f>Samples!W29</f>
        <v>HP185-28,HP185-20240613,BDF 250uM AA2P scaffolds 1-4, D5 Ind #1,sample,liquid,EXP135,BDF 250uM AA2P scaffolds 1-4, D5 Ind #1,,1,,200,4,20,,,,,DS,,,,06-13-2024</v>
      </c>
      <c r="L3" s="37" t="str">
        <f>Samples!W30</f>
        <v>HP185-29,HP185-20240613,BDF 100uM AA2P scaffolds 1-4, D7 Ind #1,sample,liquid,EXP135,BDF 100uM AA2P scaffolds 1-4, D7 Ind #1,,1,,200,4,20,,,,,DS,,,,06-13-2024</v>
      </c>
      <c r="M3" s="37" t="str">
        <f>Samples!W31</f>
        <v>HP185-30,HP185-20240613,BDF 250uM AA2P scaffolds 1-4, D7 Ind #1,sample,liquid,EXP135,BDF 250uM AA2P scaffolds 1-4, D7 Ind #1,,1,,200,4,20,,,,,DS,,,,06-13-2024</v>
      </c>
    </row>
    <row r="4" ht="44.25" customHeight="1">
      <c r="A4" s="36" t="s">
        <v>235</v>
      </c>
      <c r="B4" s="37" t="str">
        <f>Samples!W20</f>
        <v>HP185-19,HP185-20240613,BDF 50uM AA2P scaffolds 1-4, D3 Ind #4,sample,liquid,EXP135,BDF 50uM AA2P scaffolds 1-4, D3 Ind #4,,1,,200,4,20,,,,,DS,,,,06-13-2024</v>
      </c>
      <c r="C4" s="37" t="str">
        <f>Samples!W21</f>
        <v>HP185-20,HP185-20240613,BDF 200uM AA2P scaffolds 1-4, D3 Ind #4,sample,liquid,EXP135,BDF 200uM AA2P scaffolds 1-4, D3 Ind #4,,1,,200,4,20,,,,,DS,,,,06-13-2024</v>
      </c>
      <c r="D4" s="37" t="str">
        <f>Samples!W22</f>
        <v>HP185-21,HP185-20240613,BDF 50uM AA2P scaffolds 1-4, D5 Ind #4,sample,liquid,EXP135,BDF 50uM AA2P scaffolds 1-4, D5 Ind #4,,1,,200,4,20,,,,,DS,,,,06-13-2024</v>
      </c>
      <c r="E4" s="37" t="str">
        <f>Samples!W23</f>
        <v>HP185-22,HP185-20240613,BDF 200uM AA2P scaffolds 1-4, D5 Ind #4,sample,liquid,EXP135,BDF 200uM AA2P scaffolds 1-4, D5 Ind #4,,1,,200,4,20,,,,,DS,,,,06-13-2024</v>
      </c>
      <c r="F4" s="37" t="str">
        <f>Samples!W24</f>
        <v>HP185-23,HP185-20240613,BDF 50uM AA2P scaffolds 1-4, D7 Ind #4,sample,liquid,EXP135,BDF 50uM AA2P scaffolds 1-4, D7 Ind #4,,1,,200,4,20,,,,,DS,,,,06-13-2024</v>
      </c>
      <c r="G4" s="37" t="str">
        <f>Samples!W25</f>
        <v>HP185-24,HP185-20240613,BDF 200uM AA2P scaffolds 1-4, D7 Ind #4,sample,liquid,EXP135,BDF 200uM AA2P scaffolds 1-4, D7 Ind #4,,1,,200,4,20,,,,,DS,,,,06-13-2024</v>
      </c>
      <c r="H4" s="37" t="str">
        <f>Samples!W26</f>
        <v>HP185-25,HP185-20240613,BDF 100uM AA2P scaffolds 1-4, D3 Ind #1,sample,liquid,EXP135,BDF 100uM AA2P scaffolds 1-4, D3 Ind #1,,1,,200,4,20,,,,,DS,,,,06-13-2024</v>
      </c>
      <c r="I4" s="37" t="str">
        <f>Samples!W27</f>
        <v>HP185-26,HP185-20240613,BDF 250uM AA2P scaffolds 1-4, D3 Ind #1,sample,liquid,EXP135,BDF 250uM AA2P scaffolds 1-4, D3 Ind #1,,1,,200,4,20,,,,,DS,,,,06-13-2024</v>
      </c>
      <c r="J4" s="37" t="str">
        <f>Samples!W28</f>
        <v>HP185-27,HP185-20240613,BDF 100uM AA2P scaffolds 1-4, D5 Ind #1,sample,liquid,EXP135,BDF 100uM AA2P scaffolds 1-4, D5 Ind #1,,1,,200,4,20,,,,,DS,,,,06-13-2024</v>
      </c>
      <c r="K4" s="37" t="str">
        <f>Samples!W29</f>
        <v>HP185-28,HP185-20240613,BDF 250uM AA2P scaffolds 1-4, D5 Ind #1,sample,liquid,EXP135,BDF 250uM AA2P scaffolds 1-4, D5 Ind #1,,1,,200,4,20,,,,,DS,,,,06-13-2024</v>
      </c>
      <c r="L4" s="37" t="str">
        <f>Samples!W30</f>
        <v>HP185-29,HP185-20240613,BDF 100uM AA2P scaffolds 1-4, D7 Ind #1,sample,liquid,EXP135,BDF 100uM AA2P scaffolds 1-4, D7 Ind #1,,1,,200,4,20,,,,,DS,,,,06-13-2024</v>
      </c>
      <c r="M4" s="37" t="str">
        <f>Samples!W31</f>
        <v>HP185-30,HP185-20240613,BDF 250uM AA2P scaffolds 1-4, D7 Ind #1,sample,liquid,EXP135,BDF 250uM AA2P scaffolds 1-4, D7 Ind #1,,1,,200,4,20,,,,,DS,,,,06-13-2024</v>
      </c>
    </row>
    <row r="5" ht="44.25" customHeight="1">
      <c r="A5" s="36" t="s">
        <v>236</v>
      </c>
      <c r="B5" s="37" t="str">
        <f>Samples!W20</f>
        <v>HP185-19,HP185-20240613,BDF 50uM AA2P scaffolds 1-4, D3 Ind #4,sample,liquid,EXP135,BDF 50uM AA2P scaffolds 1-4, D3 Ind #4,,1,,200,4,20,,,,,DS,,,,06-13-2024</v>
      </c>
      <c r="C5" s="37" t="str">
        <f>Samples!W21</f>
        <v>HP185-20,HP185-20240613,BDF 200uM AA2P scaffolds 1-4, D3 Ind #4,sample,liquid,EXP135,BDF 200uM AA2P scaffolds 1-4, D3 Ind #4,,1,,200,4,20,,,,,DS,,,,06-13-2024</v>
      </c>
      <c r="D5" s="37" t="str">
        <f>Samples!W22</f>
        <v>HP185-21,HP185-20240613,BDF 50uM AA2P scaffolds 1-4, D5 Ind #4,sample,liquid,EXP135,BDF 50uM AA2P scaffolds 1-4, D5 Ind #4,,1,,200,4,20,,,,,DS,,,,06-13-2024</v>
      </c>
      <c r="E5" s="37" t="str">
        <f>Samples!W23</f>
        <v>HP185-22,HP185-20240613,BDF 200uM AA2P scaffolds 1-4, D5 Ind #4,sample,liquid,EXP135,BDF 200uM AA2P scaffolds 1-4, D5 Ind #4,,1,,200,4,20,,,,,DS,,,,06-13-2024</v>
      </c>
      <c r="F5" s="37" t="str">
        <f>Samples!W24</f>
        <v>HP185-23,HP185-20240613,BDF 50uM AA2P scaffolds 1-4, D7 Ind #4,sample,liquid,EXP135,BDF 50uM AA2P scaffolds 1-4, D7 Ind #4,,1,,200,4,20,,,,,DS,,,,06-13-2024</v>
      </c>
      <c r="G5" s="37" t="str">
        <f>Samples!W25</f>
        <v>HP185-24,HP185-20240613,BDF 200uM AA2P scaffolds 1-4, D7 Ind #4,sample,liquid,EXP135,BDF 200uM AA2P scaffolds 1-4, D7 Ind #4,,1,,200,4,20,,,,,DS,,,,06-13-2024</v>
      </c>
      <c r="H5" s="37" t="str">
        <f>Samples!W26</f>
        <v>HP185-25,HP185-20240613,BDF 100uM AA2P scaffolds 1-4, D3 Ind #1,sample,liquid,EXP135,BDF 100uM AA2P scaffolds 1-4, D3 Ind #1,,1,,200,4,20,,,,,DS,,,,06-13-2024</v>
      </c>
      <c r="I5" s="37" t="str">
        <f>Samples!W27</f>
        <v>HP185-26,HP185-20240613,BDF 250uM AA2P scaffolds 1-4, D3 Ind #1,sample,liquid,EXP135,BDF 250uM AA2P scaffolds 1-4, D3 Ind #1,,1,,200,4,20,,,,,DS,,,,06-13-2024</v>
      </c>
      <c r="J5" s="37" t="str">
        <f>Samples!W28</f>
        <v>HP185-27,HP185-20240613,BDF 100uM AA2P scaffolds 1-4, D5 Ind #1,sample,liquid,EXP135,BDF 100uM AA2P scaffolds 1-4, D5 Ind #1,,1,,200,4,20,,,,,DS,,,,06-13-2024</v>
      </c>
      <c r="K5" s="37" t="str">
        <f>Samples!W29</f>
        <v>HP185-28,HP185-20240613,BDF 250uM AA2P scaffolds 1-4, D5 Ind #1,sample,liquid,EXP135,BDF 250uM AA2P scaffolds 1-4, D5 Ind #1,,1,,200,4,20,,,,,DS,,,,06-13-2024</v>
      </c>
      <c r="L5" s="37" t="str">
        <f>Samples!W30</f>
        <v>HP185-29,HP185-20240613,BDF 100uM AA2P scaffolds 1-4, D7 Ind #1,sample,liquid,EXP135,BDF 100uM AA2P scaffolds 1-4, D7 Ind #1,,1,,200,4,20,,,,,DS,,,,06-13-2024</v>
      </c>
      <c r="M5" s="37" t="str">
        <f>Samples!W31</f>
        <v>HP185-30,HP185-20240613,BDF 250uM AA2P scaffolds 1-4, D7 Ind #1,sample,liquid,EXP135,BDF 250uM AA2P scaffolds 1-4, D7 Ind #1,,1,,200,4,20,,,,,DS,,,,06-13-2024</v>
      </c>
    </row>
    <row r="6" ht="44.25" customHeight="1">
      <c r="A6" s="36" t="s">
        <v>237</v>
      </c>
      <c r="B6" s="37" t="str">
        <f>Samples!W32</f>
        <v>HP185-31,HP185-20240613,BDF 100uM AA2P scaffolds 1-4, D3 Ind #2,sample,liquid,EXP135,BDF 100uM AA2P scaffolds 1-4, D3 Ind #2,,1,,200,4,20,,,,,DS,,,,06-13-2024</v>
      </c>
      <c r="C6" s="37" t="str">
        <f>Samples!W33</f>
        <v>HP185-32,HP185-20240613,BDF 250uM AA2P scaffolds 1-4, D3 Ind #2,sample,liquid,EXP135,BDF 250uM AA2P scaffolds 1-4, D3 Ind #2,,1,,200,4,20,,,,,DS,,,,06-13-2024</v>
      </c>
      <c r="D6" s="37" t="str">
        <f>Samples!W34</f>
        <v>HP185-33,HP185-20240613,BDF 100uM AA2P scaffolds 1-4, D5 Ind #2,sample,liquid,EXP135,BDF 100uM AA2P scaffolds 1-4, D5 Ind #2,,1,,200,4,20,,,,,DS,,,,06-13-2024</v>
      </c>
      <c r="E6" s="37" t="str">
        <f>Samples!W35</f>
        <v>HP185-34,HP185-20240613,BDF 250uM AA2P scaffolds 1-4, D5 Ind #2,sample,liquid,EXP135,BDF 250uM AA2P scaffolds 1-4, D5 Ind #2,,1,,200,4,20,,,,,DS,,,,06-13-2024</v>
      </c>
      <c r="F6" s="37" t="str">
        <f>Samples!W36</f>
        <v>HP185-35,HP185-20240613,BDF 100uM AA2P scaffolds 1-4, D7 Ind #2,sample,liquid,EXP135,BDF 100uM AA2P scaffolds 1-4, D7 Ind #2,,1,,200,4,20,,,,,DS,,,,06-13-2024</v>
      </c>
      <c r="G6" s="37" t="str">
        <f>Samples!W37</f>
        <v>HP185-36,HP185-20240613,BDF 250uM AA2P scaffolds 1-4, D7 Ind #2,sample,liquid,EXP135,BDF 250uM AA2P scaffolds 1-4, D7 Ind #2,,1,,200,4,20,,,,,DS,,,,06-13-2024</v>
      </c>
      <c r="H6" s="37" t="str">
        <f>Samples!W188</f>
        <v>HP185-187,HP185-20240613,Hydroxyproline St1,standard,liquid,,Hydroxyproline St1,,,,,,,,,,,DS,1,,,06-13-2024</v>
      </c>
      <c r="I6" s="37" t="str">
        <f>Samples!W189</f>
        <v>HP185-188,HP185-20240613,Hydroxyproline St2,standard,liquid,,Hydroxyproline St2,,,,,,,,,,,DS,0.8,,,06-13-2024</v>
      </c>
      <c r="J6" s="37" t="str">
        <f>Samples!W190</f>
        <v>HP185-189,HP185-20240613,Hydroxyproline St3,standard,liquid,,Hydroxyproline St3,,,,,,,,,,,DS,0.6,,,06-13-2024</v>
      </c>
      <c r="K6" s="37" t="str">
        <f>Samples!W191</f>
        <v>HP185-190,HP185-20240613,Hydroxyproline St4,standard,liquid,,Hydroxyproline St4,,,,,,,,,,,DS,0.4,,,06-13-2024</v>
      </c>
      <c r="L6" s="37" t="str">
        <f>Samples!W192</f>
        <v>HP185-191,HP185-20240613,Hydroxyproline St5,standard,liquid,,Hydroxyproline St5,,,,,,,,,,,DS,0.2,,,06-13-2024</v>
      </c>
      <c r="M6" s="37" t="str">
        <f>Samples!W193</f>
        <v>HP185-192,HP185-20240613,Hydroxyproline St6,standard,liquid,,Hydroxyproline St6,,,,,,,,,,,DS,0,,,06-13-2024</v>
      </c>
    </row>
    <row r="7" ht="44.25" customHeight="1">
      <c r="A7" s="36" t="s">
        <v>238</v>
      </c>
      <c r="B7" s="37" t="str">
        <f>Samples!W32</f>
        <v>HP185-31,HP185-20240613,BDF 100uM AA2P scaffolds 1-4, D3 Ind #2,sample,liquid,EXP135,BDF 100uM AA2P scaffolds 1-4, D3 Ind #2,,1,,200,4,20,,,,,DS,,,,06-13-2024</v>
      </c>
      <c r="C7" s="37" t="str">
        <f>Samples!W33</f>
        <v>HP185-32,HP185-20240613,BDF 250uM AA2P scaffolds 1-4, D3 Ind #2,sample,liquid,EXP135,BDF 250uM AA2P scaffolds 1-4, D3 Ind #2,,1,,200,4,20,,,,,DS,,,,06-13-2024</v>
      </c>
      <c r="D7" s="37" t="str">
        <f>Samples!W34</f>
        <v>HP185-33,HP185-20240613,BDF 100uM AA2P scaffolds 1-4, D5 Ind #2,sample,liquid,EXP135,BDF 100uM AA2P scaffolds 1-4, D5 Ind #2,,1,,200,4,20,,,,,DS,,,,06-13-2024</v>
      </c>
      <c r="E7" s="37" t="str">
        <f>Samples!W35</f>
        <v>HP185-34,HP185-20240613,BDF 250uM AA2P scaffolds 1-4, D5 Ind #2,sample,liquid,EXP135,BDF 250uM AA2P scaffolds 1-4, D5 Ind #2,,1,,200,4,20,,,,,DS,,,,06-13-2024</v>
      </c>
      <c r="F7" s="37" t="str">
        <f>Samples!W36</f>
        <v>HP185-35,HP185-20240613,BDF 100uM AA2P scaffolds 1-4, D7 Ind #2,sample,liquid,EXP135,BDF 100uM AA2P scaffolds 1-4, D7 Ind #2,,1,,200,4,20,,,,,DS,,,,06-13-2024</v>
      </c>
      <c r="G7" s="37" t="str">
        <f>Samples!W37</f>
        <v>HP185-36,HP185-20240613,BDF 250uM AA2P scaffolds 1-4, D7 Ind #2,sample,liquid,EXP135,BDF 250uM AA2P scaffolds 1-4, D7 Ind #2,,1,,200,4,20,,,,,DS,,,,06-13-2024</v>
      </c>
      <c r="H7" s="37" t="str">
        <f>Samples!W188</f>
        <v>HP185-187,HP185-20240613,Hydroxyproline St1,standard,liquid,,Hydroxyproline St1,,,,,,,,,,,DS,1,,,06-13-2024</v>
      </c>
      <c r="I7" s="37" t="str">
        <f>Samples!W189</f>
        <v>HP185-188,HP185-20240613,Hydroxyproline St2,standard,liquid,,Hydroxyproline St2,,,,,,,,,,,DS,0.8,,,06-13-2024</v>
      </c>
      <c r="J7" s="37" t="str">
        <f>Samples!W190</f>
        <v>HP185-189,HP185-20240613,Hydroxyproline St3,standard,liquid,,Hydroxyproline St3,,,,,,,,,,,DS,0.6,,,06-13-2024</v>
      </c>
      <c r="K7" s="37" t="str">
        <f>Samples!W191</f>
        <v>HP185-190,HP185-20240613,Hydroxyproline St4,standard,liquid,,Hydroxyproline St4,,,,,,,,,,,DS,0.4,,,06-13-2024</v>
      </c>
      <c r="L7" s="37" t="str">
        <f>Samples!W192</f>
        <v>HP185-191,HP185-20240613,Hydroxyproline St5,standard,liquid,,Hydroxyproline St5,,,,,,,,,,,DS,0.2,,,06-13-2024</v>
      </c>
      <c r="M7" s="37" t="str">
        <f>Samples!W193</f>
        <v>HP185-192,HP185-20240613,Hydroxyproline St6,standard,liquid,,Hydroxyproline St6,,,,,,,,,,,DS,0,,,06-13-2024</v>
      </c>
    </row>
    <row r="8" ht="44.25" customHeight="1">
      <c r="A8" s="36" t="s">
        <v>239</v>
      </c>
      <c r="B8" s="37" t="str">
        <f>Samples!W32</f>
        <v>HP185-31,HP185-20240613,BDF 100uM AA2P scaffolds 1-4, D3 Ind #2,sample,liquid,EXP135,BDF 100uM AA2P scaffolds 1-4, D3 Ind #2,,1,,200,4,20,,,,,DS,,,,06-13-2024</v>
      </c>
      <c r="C8" s="37" t="str">
        <f>Samples!W33</f>
        <v>HP185-32,HP185-20240613,BDF 250uM AA2P scaffolds 1-4, D3 Ind #2,sample,liquid,EXP135,BDF 250uM AA2P scaffolds 1-4, D3 Ind #2,,1,,200,4,20,,,,,DS,,,,06-13-2024</v>
      </c>
      <c r="D8" s="37" t="str">
        <f>Samples!W34</f>
        <v>HP185-33,HP185-20240613,BDF 100uM AA2P scaffolds 1-4, D5 Ind #2,sample,liquid,EXP135,BDF 100uM AA2P scaffolds 1-4, D5 Ind #2,,1,,200,4,20,,,,,DS,,,,06-13-2024</v>
      </c>
      <c r="E8" s="37" t="str">
        <f>Samples!W35</f>
        <v>HP185-34,HP185-20240613,BDF 250uM AA2P scaffolds 1-4, D5 Ind #2,sample,liquid,EXP135,BDF 250uM AA2P scaffolds 1-4, D5 Ind #2,,1,,200,4,20,,,,,DS,,,,06-13-2024</v>
      </c>
      <c r="F8" s="37" t="str">
        <f>Samples!W36</f>
        <v>HP185-35,HP185-20240613,BDF 100uM AA2P scaffolds 1-4, D7 Ind #2,sample,liquid,EXP135,BDF 100uM AA2P scaffolds 1-4, D7 Ind #2,,1,,200,4,20,,,,,DS,,,,06-13-2024</v>
      </c>
      <c r="G8" s="37" t="str">
        <f>Samples!W37</f>
        <v>HP185-36,HP185-20240613,BDF 250uM AA2P scaffolds 1-4, D7 Ind #2,sample,liquid,EXP135,BDF 250uM AA2P scaffolds 1-4, D7 Ind #2,,1,,200,4,20,,,,,DS,,,,06-13-2024</v>
      </c>
      <c r="H8" s="38"/>
      <c r="I8" s="38"/>
      <c r="J8" s="38"/>
      <c r="K8" s="38"/>
      <c r="L8" s="38"/>
      <c r="M8" s="38"/>
    </row>
    <row r="9" ht="44.25" customHeight="1">
      <c r="A9" s="36" t="s">
        <v>240</v>
      </c>
      <c r="B9" s="37" t="str">
        <f>Samples!W32</f>
        <v>HP185-31,HP185-20240613,BDF 100uM AA2P scaffolds 1-4, D3 Ind #2,sample,liquid,EXP135,BDF 100uM AA2P scaffolds 1-4, D3 Ind #2,,1,,200,4,20,,,,,DS,,,,06-13-2024</v>
      </c>
      <c r="C9" s="37" t="str">
        <f>Samples!W33</f>
        <v>HP185-32,HP185-20240613,BDF 250uM AA2P scaffolds 1-4, D3 Ind #2,sample,liquid,EXP135,BDF 250uM AA2P scaffolds 1-4, D3 Ind #2,,1,,200,4,20,,,,,DS,,,,06-13-2024</v>
      </c>
      <c r="D9" s="37" t="str">
        <f>Samples!W34</f>
        <v>HP185-33,HP185-20240613,BDF 100uM AA2P scaffolds 1-4, D5 Ind #2,sample,liquid,EXP135,BDF 100uM AA2P scaffolds 1-4, D5 Ind #2,,1,,200,4,20,,,,,DS,,,,06-13-2024</v>
      </c>
      <c r="E9" s="37" t="str">
        <f>Samples!W35</f>
        <v>HP185-34,HP185-20240613,BDF 250uM AA2P scaffolds 1-4, D5 Ind #2,sample,liquid,EXP135,BDF 250uM AA2P scaffolds 1-4, D5 Ind #2,,1,,200,4,20,,,,,DS,,,,06-13-2024</v>
      </c>
      <c r="F9" s="37" t="str">
        <f>Samples!W36</f>
        <v>HP185-35,HP185-20240613,BDF 100uM AA2P scaffolds 1-4, D7 Ind #2,sample,liquid,EXP135,BDF 100uM AA2P scaffolds 1-4, D7 Ind #2,,1,,200,4,20,,,,,DS,,,,06-13-2024</v>
      </c>
      <c r="G9" s="37" t="str">
        <f>Samples!W37</f>
        <v>HP185-36,HP185-20240613,BDF 250uM AA2P scaffolds 1-4, D7 Ind #2,sample,liquid,EXP135,BDF 250uM AA2P scaffolds 1-4, D7 Ind #2,,1,,200,4,20,,,,,DS,,,,06-13-2024</v>
      </c>
      <c r="H9" s="38"/>
      <c r="I9" s="38"/>
      <c r="J9" s="38"/>
      <c r="K9" s="38"/>
      <c r="L9" s="38"/>
      <c r="M9" s="3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13" width="9.0"/>
  </cols>
  <sheetData>
    <row r="1" ht="15.75" customHeight="1">
      <c r="A1" s="36"/>
      <c r="B1" s="36">
        <v>1.0</v>
      </c>
      <c r="C1" s="36">
        <v>2.0</v>
      </c>
      <c r="D1" s="36">
        <v>3.0</v>
      </c>
      <c r="E1" s="36">
        <v>4.0</v>
      </c>
      <c r="F1" s="36">
        <v>5.0</v>
      </c>
      <c r="G1" s="36">
        <v>6.0</v>
      </c>
      <c r="H1" s="36">
        <v>7.0</v>
      </c>
      <c r="I1" s="36">
        <v>8.0</v>
      </c>
      <c r="J1" s="36">
        <v>9.0</v>
      </c>
      <c r="K1" s="36">
        <v>10.0</v>
      </c>
      <c r="L1" s="36">
        <v>11.0</v>
      </c>
      <c r="M1" s="36">
        <v>12.0</v>
      </c>
    </row>
    <row r="2" ht="57.0" customHeight="1">
      <c r="A2" s="36" t="s">
        <v>233</v>
      </c>
      <c r="B2" s="37" t="str">
        <f>Samples!W38</f>
        <v>HP185-37,HP185-20240613,BDF 100uM AA2P scaffolds 1-4, D3 Ind #3,sample,liquid,EXP135,BDF 100uM AA2P scaffolds 1-4, D3 Ind #3,,1,,200,4,20,,,,,DS,,,,06-13-2024</v>
      </c>
      <c r="C2" s="37" t="str">
        <f>Samples!W39</f>
        <v>HP185-38,HP185-20240613,BDF 250uM AA2P scaffolds 1-4, D3 Ind #3,sample,liquid,EXP135,BDF 250uM AA2P scaffolds 1-4, D3 Ind #3,,1,,200,4,20,,,,,DS,,,,06-13-2024</v>
      </c>
      <c r="D2" s="37" t="str">
        <f>Samples!W40</f>
        <v>HP185-39,HP185-20240613,BDF 100uM AA2P scaffolds 1-4, D5 Ind #3,sample,liquid,EXP135,BDF 100uM AA2P scaffolds 1-4, D5 Ind #3,,1,,200,4,20,,,,,DS,,,,06-13-2024</v>
      </c>
      <c r="E2" s="37" t="str">
        <f>Samples!W41</f>
        <v>HP185-40,HP185-20240613,BDF 250uM AA2P scaffolds 1-4, D5 Ind #3,sample,liquid,EXP135,BDF 250uM AA2P scaffolds 1-4, D5 Ind #3,,1,,200,4,20,,,,,DS,,,,06-13-2024</v>
      </c>
      <c r="F2" s="37" t="str">
        <f>Samples!W42</f>
        <v>HP185-41,HP185-20240613,BDF 100uM AA2P scaffolds 1-4, D7 Ind #3,sample,liquid,EXP135,BDF 100uM AA2P scaffolds 1-4, D7 Ind #3,,1,,200,4,20,,,,,DS,,,,06-13-2024</v>
      </c>
      <c r="G2" s="37" t="str">
        <f>Samples!W43</f>
        <v>HP185-42,HP185-20240613,BDF 250uM AA2P scaffolds 1-4, D7 Ind #3,sample,liquid,EXP135,BDF 250uM AA2P scaffolds 1-4, D7 Ind #3,,1,,200,4,20,,,,,DS,,,,06-13-2024</v>
      </c>
      <c r="H2" s="37" t="str">
        <f>Samples!W44</f>
        <v>HP185-43,HP185-20240613,BDF 100uM AA2P scaffolds 1-4, D3 Ind #4,sample,liquid,EXP135,BDF 100uM AA2P scaffolds 1-4, D3 Ind #4,,1,,200,4,20,,,,,DS,,,,06-13-2024</v>
      </c>
      <c r="I2" s="37" t="str">
        <f>Samples!W45</f>
        <v>HP185-44,HP185-20240613,BDF 250uM AA2P scaffolds 1-4, D3 Ind #4,sample,liquid,EXP135,BDF 250uM AA2P scaffolds 1-4, D3 Ind #4,,1,,200,4,20,,,,,DS,,,,06-13-2024</v>
      </c>
      <c r="J2" s="37" t="str">
        <f>Samples!W46</f>
        <v>HP185-45,HP185-20240613,BDF 100uM AA2P scaffolds 1-4, D5 Ind #4,sample,liquid,EXP135,BDF 100uM AA2P scaffolds 1-4, D5 Ind #4,,1,,200,4,20,,,,,DS,,,,06-13-2024</v>
      </c>
      <c r="K2" s="37" t="str">
        <f>Samples!W47</f>
        <v>HP185-46,HP185-20240613,BDF 250uM AA2P scaffolds 1-4, D5 Ind #4,sample,liquid,EXP135,BDF 250uM AA2P scaffolds 1-4, D5 Ind #4,,1,,200,4,20,,,,,DS,,,,06-13-2024</v>
      </c>
      <c r="L2" s="37" t="str">
        <f>Samples!W48</f>
        <v>HP185-47,HP185-20240613,BDF 100uM AA2P scaffolds 1-4, D7 Ind #4,sample,liquid,EXP135,BDF 100uM AA2P scaffolds 1-4, D7 Ind #4,,1,,200,4,20,,,,,DS,,,,06-13-2024</v>
      </c>
      <c r="M2" s="37" t="str">
        <f>Samples!W49</f>
        <v>HP185-48,HP185-20240613,BDF 250uM AA2P scaffolds 1-4, D7 Ind #4,sample,liquid,EXP135,BDF 250uM AA2P scaffolds 1-4, D7 Ind #4,,1,,200,4,20,,,,,DS,,,,06-13-2024</v>
      </c>
    </row>
    <row r="3" ht="57.0" customHeight="1">
      <c r="A3" s="36" t="s">
        <v>234</v>
      </c>
      <c r="B3" s="37" t="str">
        <f>Samples!W38</f>
        <v>HP185-37,HP185-20240613,BDF 100uM AA2P scaffolds 1-4, D3 Ind #3,sample,liquid,EXP135,BDF 100uM AA2P scaffolds 1-4, D3 Ind #3,,1,,200,4,20,,,,,DS,,,,06-13-2024</v>
      </c>
      <c r="C3" s="37" t="str">
        <f>Samples!W39</f>
        <v>HP185-38,HP185-20240613,BDF 250uM AA2P scaffolds 1-4, D3 Ind #3,sample,liquid,EXP135,BDF 250uM AA2P scaffolds 1-4, D3 Ind #3,,1,,200,4,20,,,,,DS,,,,06-13-2024</v>
      </c>
      <c r="D3" s="37" t="str">
        <f>Samples!W40</f>
        <v>HP185-39,HP185-20240613,BDF 100uM AA2P scaffolds 1-4, D5 Ind #3,sample,liquid,EXP135,BDF 100uM AA2P scaffolds 1-4, D5 Ind #3,,1,,200,4,20,,,,,DS,,,,06-13-2024</v>
      </c>
      <c r="E3" s="37" t="str">
        <f>Samples!W41</f>
        <v>HP185-40,HP185-20240613,BDF 250uM AA2P scaffolds 1-4, D5 Ind #3,sample,liquid,EXP135,BDF 250uM AA2P scaffolds 1-4, D5 Ind #3,,1,,200,4,20,,,,,DS,,,,06-13-2024</v>
      </c>
      <c r="F3" s="37" t="str">
        <f>Samples!W42</f>
        <v>HP185-41,HP185-20240613,BDF 100uM AA2P scaffolds 1-4, D7 Ind #3,sample,liquid,EXP135,BDF 100uM AA2P scaffolds 1-4, D7 Ind #3,,1,,200,4,20,,,,,DS,,,,06-13-2024</v>
      </c>
      <c r="G3" s="37" t="str">
        <f>Samples!W43</f>
        <v>HP185-42,HP185-20240613,BDF 250uM AA2P scaffolds 1-4, D7 Ind #3,sample,liquid,EXP135,BDF 250uM AA2P scaffolds 1-4, D7 Ind #3,,1,,200,4,20,,,,,DS,,,,06-13-2024</v>
      </c>
      <c r="H3" s="37" t="str">
        <f>Samples!W44</f>
        <v>HP185-43,HP185-20240613,BDF 100uM AA2P scaffolds 1-4, D3 Ind #4,sample,liquid,EXP135,BDF 100uM AA2P scaffolds 1-4, D3 Ind #4,,1,,200,4,20,,,,,DS,,,,06-13-2024</v>
      </c>
      <c r="I3" s="37" t="str">
        <f>Samples!W45</f>
        <v>HP185-44,HP185-20240613,BDF 250uM AA2P scaffolds 1-4, D3 Ind #4,sample,liquid,EXP135,BDF 250uM AA2P scaffolds 1-4, D3 Ind #4,,1,,200,4,20,,,,,DS,,,,06-13-2024</v>
      </c>
      <c r="J3" s="37" t="str">
        <f>Samples!W46</f>
        <v>HP185-45,HP185-20240613,BDF 100uM AA2P scaffolds 1-4, D5 Ind #4,sample,liquid,EXP135,BDF 100uM AA2P scaffolds 1-4, D5 Ind #4,,1,,200,4,20,,,,,DS,,,,06-13-2024</v>
      </c>
      <c r="K3" s="37" t="str">
        <f>Samples!W47</f>
        <v>HP185-46,HP185-20240613,BDF 250uM AA2P scaffolds 1-4, D5 Ind #4,sample,liquid,EXP135,BDF 250uM AA2P scaffolds 1-4, D5 Ind #4,,1,,200,4,20,,,,,DS,,,,06-13-2024</v>
      </c>
      <c r="L3" s="37" t="str">
        <f>Samples!W48</f>
        <v>HP185-47,HP185-20240613,BDF 100uM AA2P scaffolds 1-4, D7 Ind #4,sample,liquid,EXP135,BDF 100uM AA2P scaffolds 1-4, D7 Ind #4,,1,,200,4,20,,,,,DS,,,,06-13-2024</v>
      </c>
      <c r="M3" s="37" t="str">
        <f>Samples!W49</f>
        <v>HP185-48,HP185-20240613,BDF 250uM AA2P scaffolds 1-4, D7 Ind #4,sample,liquid,EXP135,BDF 250uM AA2P scaffolds 1-4, D7 Ind #4,,1,,200,4,20,,,,,DS,,,,06-13-2024</v>
      </c>
    </row>
    <row r="4" ht="57.0" customHeight="1">
      <c r="A4" s="36" t="s">
        <v>235</v>
      </c>
      <c r="B4" s="37" t="str">
        <f>Samples!W38</f>
        <v>HP185-37,HP185-20240613,BDF 100uM AA2P scaffolds 1-4, D3 Ind #3,sample,liquid,EXP135,BDF 100uM AA2P scaffolds 1-4, D3 Ind #3,,1,,200,4,20,,,,,DS,,,,06-13-2024</v>
      </c>
      <c r="C4" s="37" t="str">
        <f>Samples!W39</f>
        <v>HP185-38,HP185-20240613,BDF 250uM AA2P scaffolds 1-4, D3 Ind #3,sample,liquid,EXP135,BDF 250uM AA2P scaffolds 1-4, D3 Ind #3,,1,,200,4,20,,,,,DS,,,,06-13-2024</v>
      </c>
      <c r="D4" s="37" t="str">
        <f>Samples!W40</f>
        <v>HP185-39,HP185-20240613,BDF 100uM AA2P scaffolds 1-4, D5 Ind #3,sample,liquid,EXP135,BDF 100uM AA2P scaffolds 1-4, D5 Ind #3,,1,,200,4,20,,,,,DS,,,,06-13-2024</v>
      </c>
      <c r="E4" s="37" t="str">
        <f>Samples!W41</f>
        <v>HP185-40,HP185-20240613,BDF 250uM AA2P scaffolds 1-4, D5 Ind #3,sample,liquid,EXP135,BDF 250uM AA2P scaffolds 1-4, D5 Ind #3,,1,,200,4,20,,,,,DS,,,,06-13-2024</v>
      </c>
      <c r="F4" s="37" t="str">
        <f>Samples!W42</f>
        <v>HP185-41,HP185-20240613,BDF 100uM AA2P scaffolds 1-4, D7 Ind #3,sample,liquid,EXP135,BDF 100uM AA2P scaffolds 1-4, D7 Ind #3,,1,,200,4,20,,,,,DS,,,,06-13-2024</v>
      </c>
      <c r="G4" s="37" t="str">
        <f>Samples!W43</f>
        <v>HP185-42,HP185-20240613,BDF 250uM AA2P scaffolds 1-4, D7 Ind #3,sample,liquid,EXP135,BDF 250uM AA2P scaffolds 1-4, D7 Ind #3,,1,,200,4,20,,,,,DS,,,,06-13-2024</v>
      </c>
      <c r="H4" s="37" t="str">
        <f>Samples!W44</f>
        <v>HP185-43,HP185-20240613,BDF 100uM AA2P scaffolds 1-4, D3 Ind #4,sample,liquid,EXP135,BDF 100uM AA2P scaffolds 1-4, D3 Ind #4,,1,,200,4,20,,,,,DS,,,,06-13-2024</v>
      </c>
      <c r="I4" s="37" t="str">
        <f>Samples!W45</f>
        <v>HP185-44,HP185-20240613,BDF 250uM AA2P scaffolds 1-4, D3 Ind #4,sample,liquid,EXP135,BDF 250uM AA2P scaffolds 1-4, D3 Ind #4,,1,,200,4,20,,,,,DS,,,,06-13-2024</v>
      </c>
      <c r="J4" s="37" t="str">
        <f>Samples!W46</f>
        <v>HP185-45,HP185-20240613,BDF 100uM AA2P scaffolds 1-4, D5 Ind #4,sample,liquid,EXP135,BDF 100uM AA2P scaffolds 1-4, D5 Ind #4,,1,,200,4,20,,,,,DS,,,,06-13-2024</v>
      </c>
      <c r="K4" s="37" t="str">
        <f>Samples!W47</f>
        <v>HP185-46,HP185-20240613,BDF 250uM AA2P scaffolds 1-4, D5 Ind #4,sample,liquid,EXP135,BDF 250uM AA2P scaffolds 1-4, D5 Ind #4,,1,,200,4,20,,,,,DS,,,,06-13-2024</v>
      </c>
      <c r="L4" s="37" t="str">
        <f>Samples!W48</f>
        <v>HP185-47,HP185-20240613,BDF 100uM AA2P scaffolds 1-4, D7 Ind #4,sample,liquid,EXP135,BDF 100uM AA2P scaffolds 1-4, D7 Ind #4,,1,,200,4,20,,,,,DS,,,,06-13-2024</v>
      </c>
      <c r="M4" s="37" t="str">
        <f>Samples!W49</f>
        <v>HP185-48,HP185-20240613,BDF 250uM AA2P scaffolds 1-4, D7 Ind #4,sample,liquid,EXP135,BDF 250uM AA2P scaffolds 1-4, D7 Ind #4,,1,,200,4,20,,,,,DS,,,,06-13-2024</v>
      </c>
    </row>
    <row r="5" ht="57.0" customHeight="1">
      <c r="A5" s="36" t="s">
        <v>236</v>
      </c>
      <c r="B5" s="37" t="str">
        <f>Samples!W38</f>
        <v>HP185-37,HP185-20240613,BDF 100uM AA2P scaffolds 1-4, D3 Ind #3,sample,liquid,EXP135,BDF 100uM AA2P scaffolds 1-4, D3 Ind #3,,1,,200,4,20,,,,,DS,,,,06-13-2024</v>
      </c>
      <c r="C5" s="37" t="str">
        <f>Samples!W39</f>
        <v>HP185-38,HP185-20240613,BDF 250uM AA2P scaffolds 1-4, D3 Ind #3,sample,liquid,EXP135,BDF 250uM AA2P scaffolds 1-4, D3 Ind #3,,1,,200,4,20,,,,,DS,,,,06-13-2024</v>
      </c>
      <c r="D5" s="37" t="str">
        <f>Samples!W40</f>
        <v>HP185-39,HP185-20240613,BDF 100uM AA2P scaffolds 1-4, D5 Ind #3,sample,liquid,EXP135,BDF 100uM AA2P scaffolds 1-4, D5 Ind #3,,1,,200,4,20,,,,,DS,,,,06-13-2024</v>
      </c>
      <c r="E5" s="37" t="str">
        <f>Samples!W41</f>
        <v>HP185-40,HP185-20240613,BDF 250uM AA2P scaffolds 1-4, D5 Ind #3,sample,liquid,EXP135,BDF 250uM AA2P scaffolds 1-4, D5 Ind #3,,1,,200,4,20,,,,,DS,,,,06-13-2024</v>
      </c>
      <c r="F5" s="37" t="str">
        <f>Samples!W42</f>
        <v>HP185-41,HP185-20240613,BDF 100uM AA2P scaffolds 1-4, D7 Ind #3,sample,liquid,EXP135,BDF 100uM AA2P scaffolds 1-4, D7 Ind #3,,1,,200,4,20,,,,,DS,,,,06-13-2024</v>
      </c>
      <c r="G5" s="37" t="str">
        <f>Samples!W43</f>
        <v>HP185-42,HP185-20240613,BDF 250uM AA2P scaffolds 1-4, D7 Ind #3,sample,liquid,EXP135,BDF 250uM AA2P scaffolds 1-4, D7 Ind #3,,1,,200,4,20,,,,,DS,,,,06-13-2024</v>
      </c>
      <c r="H5" s="37" t="str">
        <f>Samples!W44</f>
        <v>HP185-43,HP185-20240613,BDF 100uM AA2P scaffolds 1-4, D3 Ind #4,sample,liquid,EXP135,BDF 100uM AA2P scaffolds 1-4, D3 Ind #4,,1,,200,4,20,,,,,DS,,,,06-13-2024</v>
      </c>
      <c r="I5" s="37" t="str">
        <f>Samples!W45</f>
        <v>HP185-44,HP185-20240613,BDF 250uM AA2P scaffolds 1-4, D3 Ind #4,sample,liquid,EXP135,BDF 250uM AA2P scaffolds 1-4, D3 Ind #4,,1,,200,4,20,,,,,DS,,,,06-13-2024</v>
      </c>
      <c r="J5" s="37" t="str">
        <f>Samples!W46</f>
        <v>HP185-45,HP185-20240613,BDF 100uM AA2P scaffolds 1-4, D5 Ind #4,sample,liquid,EXP135,BDF 100uM AA2P scaffolds 1-4, D5 Ind #4,,1,,200,4,20,,,,,DS,,,,06-13-2024</v>
      </c>
      <c r="K5" s="37" t="str">
        <f>Samples!W47</f>
        <v>HP185-46,HP185-20240613,BDF 250uM AA2P scaffolds 1-4, D5 Ind #4,sample,liquid,EXP135,BDF 250uM AA2P scaffolds 1-4, D5 Ind #4,,1,,200,4,20,,,,,DS,,,,06-13-2024</v>
      </c>
      <c r="L5" s="37" t="str">
        <f>Samples!W48</f>
        <v>HP185-47,HP185-20240613,BDF 100uM AA2P scaffolds 1-4, D7 Ind #4,sample,liquid,EXP135,BDF 100uM AA2P scaffolds 1-4, D7 Ind #4,,1,,200,4,20,,,,,DS,,,,06-13-2024</v>
      </c>
      <c r="M5" s="37" t="str">
        <f>Samples!W49</f>
        <v>HP185-48,HP185-20240613,BDF 250uM AA2P scaffolds 1-4, D7 Ind #4,sample,liquid,EXP135,BDF 250uM AA2P scaffolds 1-4, D7 Ind #4,,1,,200,4,20,,,,,DS,,,,06-13-2024</v>
      </c>
    </row>
    <row r="6" ht="57.0" customHeight="1">
      <c r="A6" s="36" t="s">
        <v>237</v>
      </c>
      <c r="B6" s="37" t="str">
        <f>Samples!W50</f>
        <v>HP185-49,HP185-20240613,BDF 150uM AA2P scaffolds 1-4, D3 Ind #1,sample,liquid,EXP135,BDF 150uM AA2P scaffolds 1-4, D3 Ind #1,,1,,200,4,20,,,,,DS,,,,06-13-2024</v>
      </c>
      <c r="C6" s="37" t="str">
        <f>Samples!W51</f>
        <v>HP185-50,HP185-20240613,BDF 300uM AA2P scaffolds 1-4, D3 Ind #1,sample,liquid,EXP135,BDF 300uM AA2P scaffolds 1-4, D3 Ind #1,,1,,200,4,20,,,,,DS,,,,06-13-2024</v>
      </c>
      <c r="D6" s="37" t="str">
        <f>Samples!W52</f>
        <v>HP185-51,HP185-20240613,BDF 150uM AA2P scaffolds 1-4, D5 Ind #1,sample,liquid,EXP135,BDF 150uM AA2P scaffolds 1-4, D5 Ind #1,,1,,200,4,20,,,,,DS,,,,06-13-2024</v>
      </c>
      <c r="E6" s="37" t="str">
        <f>Samples!W53</f>
        <v>HP185-52,HP185-20240613,BDF 300uM AA2P scaffolds 1-4, D5 Ind #1,sample,liquid,EXP135,BDF 300uM AA2P scaffolds 1-4, D5 Ind #1,,1,,200,4,20,,,,,DS,,,,06-13-2024</v>
      </c>
      <c r="F6" s="37" t="str">
        <f>Samples!W54</f>
        <v>HP185-53,HP185-20240613,BDF 150uM AA2P scaffolds 1-4, D7 Ind #1,sample,liquid,EXP135,BDF 150uM AA2P scaffolds 1-4, D7 Ind #1,,1,,200,4,20,,,,,DS,,,,06-13-2024</v>
      </c>
      <c r="G6" s="37" t="str">
        <f>Samples!W55</f>
        <v>HP185-54,HP185-20240613,BDF 300uM AA2P scaffolds 1-4, D7 Ind #1,sample,liquid,EXP135,BDF 300uM AA2P scaffolds 1-4, D7 Ind #1,,1,,200,4,20,,,,,DS,,,,06-13-2024</v>
      </c>
      <c r="H6" s="37" t="str">
        <f>Samples!W188</f>
        <v>HP185-187,HP185-20240613,Hydroxyproline St1,standard,liquid,,Hydroxyproline St1,,,,,,,,,,,DS,1,,,06-13-2024</v>
      </c>
      <c r="I6" s="37" t="str">
        <f>Samples!W189</f>
        <v>HP185-188,HP185-20240613,Hydroxyproline St2,standard,liquid,,Hydroxyproline St2,,,,,,,,,,,DS,0.8,,,06-13-2024</v>
      </c>
      <c r="J6" s="37" t="str">
        <f>Samples!W190</f>
        <v>HP185-189,HP185-20240613,Hydroxyproline St3,standard,liquid,,Hydroxyproline St3,,,,,,,,,,,DS,0.6,,,06-13-2024</v>
      </c>
      <c r="K6" s="37" t="str">
        <f>Samples!W191</f>
        <v>HP185-190,HP185-20240613,Hydroxyproline St4,standard,liquid,,Hydroxyproline St4,,,,,,,,,,,DS,0.4,,,06-13-2024</v>
      </c>
      <c r="L6" s="37" t="str">
        <f>Samples!W192</f>
        <v>HP185-191,HP185-20240613,Hydroxyproline St5,standard,liquid,,Hydroxyproline St5,,,,,,,,,,,DS,0.2,,,06-13-2024</v>
      </c>
      <c r="M6" s="37" t="str">
        <f>Samples!W193</f>
        <v>HP185-192,HP185-20240613,Hydroxyproline St6,standard,liquid,,Hydroxyproline St6,,,,,,,,,,,DS,0,,,06-13-2024</v>
      </c>
    </row>
    <row r="7" ht="57.0" customHeight="1">
      <c r="A7" s="36" t="s">
        <v>238</v>
      </c>
      <c r="B7" s="37" t="str">
        <f>Samples!W50</f>
        <v>HP185-49,HP185-20240613,BDF 150uM AA2P scaffolds 1-4, D3 Ind #1,sample,liquid,EXP135,BDF 150uM AA2P scaffolds 1-4, D3 Ind #1,,1,,200,4,20,,,,,DS,,,,06-13-2024</v>
      </c>
      <c r="C7" s="37" t="str">
        <f>Samples!W51</f>
        <v>HP185-50,HP185-20240613,BDF 300uM AA2P scaffolds 1-4, D3 Ind #1,sample,liquid,EXP135,BDF 300uM AA2P scaffolds 1-4, D3 Ind #1,,1,,200,4,20,,,,,DS,,,,06-13-2024</v>
      </c>
      <c r="D7" s="37" t="str">
        <f>Samples!W52</f>
        <v>HP185-51,HP185-20240613,BDF 150uM AA2P scaffolds 1-4, D5 Ind #1,sample,liquid,EXP135,BDF 150uM AA2P scaffolds 1-4, D5 Ind #1,,1,,200,4,20,,,,,DS,,,,06-13-2024</v>
      </c>
      <c r="E7" s="37" t="str">
        <f>Samples!W53</f>
        <v>HP185-52,HP185-20240613,BDF 300uM AA2P scaffolds 1-4, D5 Ind #1,sample,liquid,EXP135,BDF 300uM AA2P scaffolds 1-4, D5 Ind #1,,1,,200,4,20,,,,,DS,,,,06-13-2024</v>
      </c>
      <c r="F7" s="37" t="str">
        <f>Samples!W54</f>
        <v>HP185-53,HP185-20240613,BDF 150uM AA2P scaffolds 1-4, D7 Ind #1,sample,liquid,EXP135,BDF 150uM AA2P scaffolds 1-4, D7 Ind #1,,1,,200,4,20,,,,,DS,,,,06-13-2024</v>
      </c>
      <c r="G7" s="37" t="str">
        <f>Samples!W55</f>
        <v>HP185-54,HP185-20240613,BDF 300uM AA2P scaffolds 1-4, D7 Ind #1,sample,liquid,EXP135,BDF 300uM AA2P scaffolds 1-4, D7 Ind #1,,1,,200,4,20,,,,,DS,,,,06-13-2024</v>
      </c>
      <c r="H7" s="37" t="str">
        <f>Samples!W188</f>
        <v>HP185-187,HP185-20240613,Hydroxyproline St1,standard,liquid,,Hydroxyproline St1,,,,,,,,,,,DS,1,,,06-13-2024</v>
      </c>
      <c r="I7" s="37" t="str">
        <f>Samples!W189</f>
        <v>HP185-188,HP185-20240613,Hydroxyproline St2,standard,liquid,,Hydroxyproline St2,,,,,,,,,,,DS,0.8,,,06-13-2024</v>
      </c>
      <c r="J7" s="37" t="str">
        <f>Samples!W190</f>
        <v>HP185-189,HP185-20240613,Hydroxyproline St3,standard,liquid,,Hydroxyproline St3,,,,,,,,,,,DS,0.6,,,06-13-2024</v>
      </c>
      <c r="K7" s="37" t="str">
        <f>Samples!W191</f>
        <v>HP185-190,HP185-20240613,Hydroxyproline St4,standard,liquid,,Hydroxyproline St4,,,,,,,,,,,DS,0.4,,,06-13-2024</v>
      </c>
      <c r="L7" s="37" t="str">
        <f>Samples!W192</f>
        <v>HP185-191,HP185-20240613,Hydroxyproline St5,standard,liquid,,Hydroxyproline St5,,,,,,,,,,,DS,0.2,,,06-13-2024</v>
      </c>
      <c r="M7" s="37" t="str">
        <f>Samples!W193</f>
        <v>HP185-192,HP185-20240613,Hydroxyproline St6,standard,liquid,,Hydroxyproline St6,,,,,,,,,,,DS,0,,,06-13-2024</v>
      </c>
    </row>
    <row r="8" ht="57.0" customHeight="1">
      <c r="A8" s="36" t="s">
        <v>239</v>
      </c>
      <c r="B8" s="37" t="str">
        <f>Samples!W50</f>
        <v>HP185-49,HP185-20240613,BDF 150uM AA2P scaffolds 1-4, D3 Ind #1,sample,liquid,EXP135,BDF 150uM AA2P scaffolds 1-4, D3 Ind #1,,1,,200,4,20,,,,,DS,,,,06-13-2024</v>
      </c>
      <c r="C8" s="37" t="str">
        <f>Samples!W51</f>
        <v>HP185-50,HP185-20240613,BDF 300uM AA2P scaffolds 1-4, D3 Ind #1,sample,liquid,EXP135,BDF 300uM AA2P scaffolds 1-4, D3 Ind #1,,1,,200,4,20,,,,,DS,,,,06-13-2024</v>
      </c>
      <c r="D8" s="37" t="str">
        <f>Samples!W52</f>
        <v>HP185-51,HP185-20240613,BDF 150uM AA2P scaffolds 1-4, D5 Ind #1,sample,liquid,EXP135,BDF 150uM AA2P scaffolds 1-4, D5 Ind #1,,1,,200,4,20,,,,,DS,,,,06-13-2024</v>
      </c>
      <c r="E8" s="37" t="str">
        <f>Samples!W53</f>
        <v>HP185-52,HP185-20240613,BDF 300uM AA2P scaffolds 1-4, D5 Ind #1,sample,liquid,EXP135,BDF 300uM AA2P scaffolds 1-4, D5 Ind #1,,1,,200,4,20,,,,,DS,,,,06-13-2024</v>
      </c>
      <c r="F8" s="37" t="str">
        <f>Samples!W54</f>
        <v>HP185-53,HP185-20240613,BDF 150uM AA2P scaffolds 1-4, D7 Ind #1,sample,liquid,EXP135,BDF 150uM AA2P scaffolds 1-4, D7 Ind #1,,1,,200,4,20,,,,,DS,,,,06-13-2024</v>
      </c>
      <c r="G8" s="37" t="str">
        <f>Samples!W55</f>
        <v>HP185-54,HP185-20240613,BDF 300uM AA2P scaffolds 1-4, D7 Ind #1,sample,liquid,EXP135,BDF 300uM AA2P scaffolds 1-4, D7 Ind #1,,1,,200,4,20,,,,,DS,,,,06-13-2024</v>
      </c>
      <c r="H8" s="37"/>
      <c r="I8" s="37"/>
      <c r="J8" s="37"/>
      <c r="K8" s="38"/>
      <c r="L8" s="38"/>
      <c r="M8" s="38"/>
    </row>
    <row r="9" ht="57.0" customHeight="1">
      <c r="A9" s="36" t="s">
        <v>240</v>
      </c>
      <c r="B9" s="37" t="str">
        <f>Samples!W50</f>
        <v>HP185-49,HP185-20240613,BDF 150uM AA2P scaffolds 1-4, D3 Ind #1,sample,liquid,EXP135,BDF 150uM AA2P scaffolds 1-4, D3 Ind #1,,1,,200,4,20,,,,,DS,,,,06-13-2024</v>
      </c>
      <c r="C9" s="37" t="str">
        <f>Samples!W51</f>
        <v>HP185-50,HP185-20240613,BDF 300uM AA2P scaffolds 1-4, D3 Ind #1,sample,liquid,EXP135,BDF 300uM AA2P scaffolds 1-4, D3 Ind #1,,1,,200,4,20,,,,,DS,,,,06-13-2024</v>
      </c>
      <c r="D9" s="37" t="str">
        <f>Samples!W52</f>
        <v>HP185-51,HP185-20240613,BDF 150uM AA2P scaffolds 1-4, D5 Ind #1,sample,liquid,EXP135,BDF 150uM AA2P scaffolds 1-4, D5 Ind #1,,1,,200,4,20,,,,,DS,,,,06-13-2024</v>
      </c>
      <c r="E9" s="37" t="str">
        <f>Samples!W53</f>
        <v>HP185-52,HP185-20240613,BDF 300uM AA2P scaffolds 1-4, D5 Ind #1,sample,liquid,EXP135,BDF 300uM AA2P scaffolds 1-4, D5 Ind #1,,1,,200,4,20,,,,,DS,,,,06-13-2024</v>
      </c>
      <c r="F9" s="37" t="str">
        <f>Samples!W54</f>
        <v>HP185-53,HP185-20240613,BDF 150uM AA2P scaffolds 1-4, D7 Ind #1,sample,liquid,EXP135,BDF 150uM AA2P scaffolds 1-4, D7 Ind #1,,1,,200,4,20,,,,,DS,,,,06-13-2024</v>
      </c>
      <c r="G9" s="37" t="str">
        <f>Samples!W55</f>
        <v>HP185-54,HP185-20240613,BDF 300uM AA2P scaffolds 1-4, D7 Ind #1,sample,liquid,EXP135,BDF 300uM AA2P scaffolds 1-4, D7 Ind #1,,1,,200,4,20,,,,,DS,,,,06-13-2024</v>
      </c>
      <c r="H9" s="37"/>
      <c r="I9" s="37"/>
      <c r="J9" s="37"/>
      <c r="K9" s="38"/>
      <c r="L9" s="38"/>
      <c r="M9" s="3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16.67"/>
  </cols>
  <sheetData>
    <row r="1" ht="48.75" customHeight="1">
      <c r="A1" s="36"/>
      <c r="B1" s="36">
        <v>1.0</v>
      </c>
      <c r="C1" s="36">
        <v>2.0</v>
      </c>
      <c r="D1" s="36">
        <v>3.0</v>
      </c>
      <c r="E1" s="36">
        <v>4.0</v>
      </c>
      <c r="F1" s="36">
        <v>5.0</v>
      </c>
      <c r="G1" s="36">
        <v>6.0</v>
      </c>
      <c r="H1" s="36">
        <v>7.0</v>
      </c>
      <c r="I1" s="36">
        <v>8.0</v>
      </c>
      <c r="J1" s="36">
        <v>9.0</v>
      </c>
      <c r="K1" s="36">
        <v>10.0</v>
      </c>
      <c r="L1" s="36">
        <v>11.0</v>
      </c>
      <c r="M1" s="36">
        <v>12.0</v>
      </c>
    </row>
    <row r="2" ht="48.75" customHeight="1">
      <c r="A2" s="36" t="s">
        <v>233</v>
      </c>
      <c r="B2" s="37" t="str">
        <f>Samples!W56</f>
        <v>HP185-55,HP185-20240613,BDF 50uM AA2P scaffolds 1-4, D10 Ind #1,sample,liquid,EXP135,BDF 50uM AA2P scaffolds 1-4, D10 Ind #1,,1,,200,4,20,,,,,DS,,,,06-13-2024</v>
      </c>
      <c r="C2" s="37" t="str">
        <f>Samples!W57</f>
        <v>HP185-56,HP185-20240613,BDF 200uM AA2P scaffolds 1-4, D10 Ind #1,sample,liquid,EXP135,BDF 200uM AA2P scaffolds 1-4, D10 Ind #1,,1,,200,4,20,,,,,DS,,,,06-13-2024</v>
      </c>
      <c r="D2" s="37" t="str">
        <f>Samples!W58</f>
        <v>HP185-57,HP185-20240613,BDF 50uM AA2P scaffolds 1-4, D3 Ind #1 #G0.625,sample,liquid,EXP135,BDF 50uM AA2P scaffolds 1-4, D3 Ind #1 #G0.625,,1,,200,4,20,,,,,DS,,,,06-13-2024</v>
      </c>
      <c r="E2" s="37" t="str">
        <f>Samples!W59</f>
        <v>HP185-58,HP185-20240613,BDF 200uM AA2P scaffolds 1-4, D3 Ind #1 #G0.3125,sample,liquid,EXP135,BDF 200uM AA2P scaffolds 1-4, D3 Ind #1 #G0.3125,,1,,200,4,20,,,,,DS,,,,06-13-2024</v>
      </c>
      <c r="F2" s="37" t="str">
        <f>Samples!W60</f>
        <v>HP185-59,HP185-20240613,BDF 50uM AA2P scaffolds 1-4, D5 Ind #1 #G0.15625,sample,liquid,EXP135,BDF 50uM AA2P scaffolds 1-4, D5 Ind #1 #G0.15625,,1,,200,4,20,,,,,DS,,,,06-13-2024</v>
      </c>
      <c r="H2" s="37" t="str">
        <f>Samples!W61</f>
        <v>HP185-60,HP185-20240613,BDF 50uM AA2P scaffolds 1-4, D10 Ind #2,sample,liquid,EXP135,BDF 50uM AA2P scaffolds 1-4, D10 Ind #2,,1,,200,4,20,,,,,DS,,,,06-13-2024</v>
      </c>
      <c r="I2" s="37" t="str">
        <f>Samples!W62</f>
        <v>HP185-61,HP185-20240613,BDF 200uM AA2P scaffolds 1-4, D10 Ind #2,sample,liquid,EXP135,BDF 200uM AA2P scaffolds 1-4, D10 Ind #2,,1,,200,4,20,,,,,DS,,,,06-13-2024</v>
      </c>
      <c r="J2" s="37" t="str">
        <f>Samples!W63</f>
        <v>HP185-62,HP185-20240613,BDF 50uM AA2P scaffolds 1-4, D3 Ind #2 #G0.625,sample,liquid,EXP135,BDF 50uM AA2P scaffolds 1-4, D3 Ind #2 #G0.625,,1,,200,4,20,,,,,DS,,,,06-13-2024</v>
      </c>
      <c r="K2" s="37" t="str">
        <f>Samples!W64</f>
        <v>HP185-63,HP185-20240613,BDF 200uM AA2P scaffolds 1-4, D3 Ind #2 #G0.3125,sample,liquid,EXP135,BDF 200uM AA2P scaffolds 1-4, D3 Ind #2 #G0.3125,,1,,200,4,20,,,,,DS,,,,06-13-2024</v>
      </c>
      <c r="L2" s="37" t="str">
        <f>Samples!W65</f>
        <v>HP185-64,HP185-20240613,BDF 50uM AA2P scaffolds 1-4, D5 Ind #2 #G0.15625,sample,liquid,EXP135,BDF 50uM AA2P scaffolds 1-4, D5 Ind #2 #G0.15625,,1,,200,4,20,,,,,DS,,,,06-13-2024</v>
      </c>
      <c r="M2" s="37"/>
    </row>
    <row r="3" ht="48.75" customHeight="1">
      <c r="A3" s="36" t="s">
        <v>234</v>
      </c>
      <c r="B3" s="37" t="str">
        <f>Samples!W56</f>
        <v>HP185-55,HP185-20240613,BDF 50uM AA2P scaffolds 1-4, D10 Ind #1,sample,liquid,EXP135,BDF 50uM AA2P scaffolds 1-4, D10 Ind #1,,1,,200,4,20,,,,,DS,,,,06-13-2024</v>
      </c>
      <c r="C3" s="37" t="str">
        <f>Samples!W57</f>
        <v>HP185-56,HP185-20240613,BDF 200uM AA2P scaffolds 1-4, D10 Ind #1,sample,liquid,EXP135,BDF 200uM AA2P scaffolds 1-4, D10 Ind #1,,1,,200,4,20,,,,,DS,,,,06-13-2024</v>
      </c>
      <c r="D3" s="37" t="str">
        <f>Samples!W58</f>
        <v>HP185-57,HP185-20240613,BDF 50uM AA2P scaffolds 1-4, D3 Ind #1 #G0.625,sample,liquid,EXP135,BDF 50uM AA2P scaffolds 1-4, D3 Ind #1 #G0.625,,1,,200,4,20,,,,,DS,,,,06-13-2024</v>
      </c>
      <c r="E3" s="37" t="str">
        <f>Samples!W59</f>
        <v>HP185-58,HP185-20240613,BDF 200uM AA2P scaffolds 1-4, D3 Ind #1 #G0.3125,sample,liquid,EXP135,BDF 200uM AA2P scaffolds 1-4, D3 Ind #1 #G0.3125,,1,,200,4,20,,,,,DS,,,,06-13-2024</v>
      </c>
      <c r="F3" s="37" t="str">
        <f>Samples!W60</f>
        <v>HP185-59,HP185-20240613,BDF 50uM AA2P scaffolds 1-4, D5 Ind #1 #G0.15625,sample,liquid,EXP135,BDF 50uM AA2P scaffolds 1-4, D5 Ind #1 #G0.15625,,1,,200,4,20,,,,,DS,,,,06-13-2024</v>
      </c>
      <c r="H3" s="37" t="str">
        <f>Samples!W61</f>
        <v>HP185-60,HP185-20240613,BDF 50uM AA2P scaffolds 1-4, D10 Ind #2,sample,liquid,EXP135,BDF 50uM AA2P scaffolds 1-4, D10 Ind #2,,1,,200,4,20,,,,,DS,,,,06-13-2024</v>
      </c>
      <c r="I3" s="37" t="str">
        <f>Samples!W62</f>
        <v>HP185-61,HP185-20240613,BDF 200uM AA2P scaffolds 1-4, D10 Ind #2,sample,liquid,EXP135,BDF 200uM AA2P scaffolds 1-4, D10 Ind #2,,1,,200,4,20,,,,,DS,,,,06-13-2024</v>
      </c>
      <c r="J3" s="37" t="str">
        <f>Samples!W63</f>
        <v>HP185-62,HP185-20240613,BDF 50uM AA2P scaffolds 1-4, D3 Ind #2 #G0.625,sample,liquid,EXP135,BDF 50uM AA2P scaffolds 1-4, D3 Ind #2 #G0.625,,1,,200,4,20,,,,,DS,,,,06-13-2024</v>
      </c>
      <c r="K3" s="37" t="str">
        <f>Samples!W64</f>
        <v>HP185-63,HP185-20240613,BDF 200uM AA2P scaffolds 1-4, D3 Ind #2 #G0.3125,sample,liquid,EXP135,BDF 200uM AA2P scaffolds 1-4, D3 Ind #2 #G0.3125,,1,,200,4,20,,,,,DS,,,,06-13-2024</v>
      </c>
      <c r="L3" s="37" t="str">
        <f>Samples!W65</f>
        <v>HP185-64,HP185-20240613,BDF 50uM AA2P scaffolds 1-4, D5 Ind #2 #G0.15625,sample,liquid,EXP135,BDF 50uM AA2P scaffolds 1-4, D5 Ind #2 #G0.15625,,1,,200,4,20,,,,,DS,,,,06-13-2024</v>
      </c>
      <c r="M3" s="37"/>
    </row>
    <row r="4" ht="48.75" customHeight="1">
      <c r="A4" s="36" t="s">
        <v>235</v>
      </c>
      <c r="B4" s="37" t="str">
        <f>Samples!W56</f>
        <v>HP185-55,HP185-20240613,BDF 50uM AA2P scaffolds 1-4, D10 Ind #1,sample,liquid,EXP135,BDF 50uM AA2P scaffolds 1-4, D10 Ind #1,,1,,200,4,20,,,,,DS,,,,06-13-2024</v>
      </c>
      <c r="C4" s="37" t="str">
        <f>Samples!W57</f>
        <v>HP185-56,HP185-20240613,BDF 200uM AA2P scaffolds 1-4, D10 Ind #1,sample,liquid,EXP135,BDF 200uM AA2P scaffolds 1-4, D10 Ind #1,,1,,200,4,20,,,,,DS,,,,06-13-2024</v>
      </c>
      <c r="D4" s="37" t="str">
        <f>Samples!W58</f>
        <v>HP185-57,HP185-20240613,BDF 50uM AA2P scaffolds 1-4, D3 Ind #1 #G0.625,sample,liquid,EXP135,BDF 50uM AA2P scaffolds 1-4, D3 Ind #1 #G0.625,,1,,200,4,20,,,,,DS,,,,06-13-2024</v>
      </c>
      <c r="E4" s="37" t="str">
        <f>Samples!W59</f>
        <v>HP185-58,HP185-20240613,BDF 200uM AA2P scaffolds 1-4, D3 Ind #1 #G0.3125,sample,liquid,EXP135,BDF 200uM AA2P scaffolds 1-4, D3 Ind #1 #G0.3125,,1,,200,4,20,,,,,DS,,,,06-13-2024</v>
      </c>
      <c r="F4" s="37" t="str">
        <f>Samples!W60</f>
        <v>HP185-59,HP185-20240613,BDF 50uM AA2P scaffolds 1-4, D5 Ind #1 #G0.15625,sample,liquid,EXP135,BDF 50uM AA2P scaffolds 1-4, D5 Ind #1 #G0.15625,,1,,200,4,20,,,,,DS,,,,06-13-2024</v>
      </c>
      <c r="H4" s="37" t="str">
        <f>Samples!W61</f>
        <v>HP185-60,HP185-20240613,BDF 50uM AA2P scaffolds 1-4, D10 Ind #2,sample,liquid,EXP135,BDF 50uM AA2P scaffolds 1-4, D10 Ind #2,,1,,200,4,20,,,,,DS,,,,06-13-2024</v>
      </c>
      <c r="I4" s="37" t="str">
        <f>Samples!W62</f>
        <v>HP185-61,HP185-20240613,BDF 200uM AA2P scaffolds 1-4, D10 Ind #2,sample,liquid,EXP135,BDF 200uM AA2P scaffolds 1-4, D10 Ind #2,,1,,200,4,20,,,,,DS,,,,06-13-2024</v>
      </c>
      <c r="J4" s="37" t="str">
        <f>Samples!W63</f>
        <v>HP185-62,HP185-20240613,BDF 50uM AA2P scaffolds 1-4, D3 Ind #2 #G0.625,sample,liquid,EXP135,BDF 50uM AA2P scaffolds 1-4, D3 Ind #2 #G0.625,,1,,200,4,20,,,,,DS,,,,06-13-2024</v>
      </c>
      <c r="K4" s="37" t="str">
        <f>Samples!W64</f>
        <v>HP185-63,HP185-20240613,BDF 200uM AA2P scaffolds 1-4, D3 Ind #2 #G0.3125,sample,liquid,EXP135,BDF 200uM AA2P scaffolds 1-4, D3 Ind #2 #G0.3125,,1,,200,4,20,,,,,DS,,,,06-13-2024</v>
      </c>
      <c r="L4" s="37" t="str">
        <f>Samples!W65</f>
        <v>HP185-64,HP185-20240613,BDF 50uM AA2P scaffolds 1-4, D5 Ind #2 #G0.15625,sample,liquid,EXP135,BDF 50uM AA2P scaffolds 1-4, D5 Ind #2 #G0.15625,,1,,200,4,20,,,,,DS,,,,06-13-2024</v>
      </c>
      <c r="M4" s="37"/>
    </row>
    <row r="5" ht="48.75" customHeight="1">
      <c r="A5" s="36" t="s">
        <v>236</v>
      </c>
      <c r="B5" s="37" t="str">
        <f>Samples!W56</f>
        <v>HP185-55,HP185-20240613,BDF 50uM AA2P scaffolds 1-4, D10 Ind #1,sample,liquid,EXP135,BDF 50uM AA2P scaffolds 1-4, D10 Ind #1,,1,,200,4,20,,,,,DS,,,,06-13-2024</v>
      </c>
      <c r="C5" s="37" t="str">
        <f>Samples!W57</f>
        <v>HP185-56,HP185-20240613,BDF 200uM AA2P scaffolds 1-4, D10 Ind #1,sample,liquid,EXP135,BDF 200uM AA2P scaffolds 1-4, D10 Ind #1,,1,,200,4,20,,,,,DS,,,,06-13-2024</v>
      </c>
      <c r="D5" s="37" t="str">
        <f>Samples!W58</f>
        <v>HP185-57,HP185-20240613,BDF 50uM AA2P scaffolds 1-4, D3 Ind #1 #G0.625,sample,liquid,EXP135,BDF 50uM AA2P scaffolds 1-4, D3 Ind #1 #G0.625,,1,,200,4,20,,,,,DS,,,,06-13-2024</v>
      </c>
      <c r="E5" s="37" t="str">
        <f>Samples!W59</f>
        <v>HP185-58,HP185-20240613,BDF 200uM AA2P scaffolds 1-4, D3 Ind #1 #G0.3125,sample,liquid,EXP135,BDF 200uM AA2P scaffolds 1-4, D3 Ind #1 #G0.3125,,1,,200,4,20,,,,,DS,,,,06-13-2024</v>
      </c>
      <c r="F5" s="37" t="str">
        <f>Samples!W60</f>
        <v>HP185-59,HP185-20240613,BDF 50uM AA2P scaffolds 1-4, D5 Ind #1 #G0.15625,sample,liquid,EXP135,BDF 50uM AA2P scaffolds 1-4, D5 Ind #1 #G0.15625,,1,,200,4,20,,,,,DS,,,,06-13-2024</v>
      </c>
      <c r="H5" s="37" t="str">
        <f>Samples!W61</f>
        <v>HP185-60,HP185-20240613,BDF 50uM AA2P scaffolds 1-4, D10 Ind #2,sample,liquid,EXP135,BDF 50uM AA2P scaffolds 1-4, D10 Ind #2,,1,,200,4,20,,,,,DS,,,,06-13-2024</v>
      </c>
      <c r="I5" s="37" t="str">
        <f>Samples!W62</f>
        <v>HP185-61,HP185-20240613,BDF 200uM AA2P scaffolds 1-4, D10 Ind #2,sample,liquid,EXP135,BDF 200uM AA2P scaffolds 1-4, D10 Ind #2,,1,,200,4,20,,,,,DS,,,,06-13-2024</v>
      </c>
      <c r="J5" s="37" t="str">
        <f>Samples!W63</f>
        <v>HP185-62,HP185-20240613,BDF 50uM AA2P scaffolds 1-4, D3 Ind #2 #G0.625,sample,liquid,EXP135,BDF 50uM AA2P scaffolds 1-4, D3 Ind #2 #G0.625,,1,,200,4,20,,,,,DS,,,,06-13-2024</v>
      </c>
      <c r="K5" s="37" t="str">
        <f>Samples!W64</f>
        <v>HP185-63,HP185-20240613,BDF 200uM AA2P scaffolds 1-4, D3 Ind #2 #G0.3125,sample,liquid,EXP135,BDF 200uM AA2P scaffolds 1-4, D3 Ind #2 #G0.3125,,1,,200,4,20,,,,,DS,,,,06-13-2024</v>
      </c>
      <c r="L5" s="37" t="str">
        <f>Samples!W65</f>
        <v>HP185-64,HP185-20240613,BDF 50uM AA2P scaffolds 1-4, D5 Ind #2 #G0.15625,sample,liquid,EXP135,BDF 50uM AA2P scaffolds 1-4, D5 Ind #2 #G0.15625,,1,,200,4,20,,,,,DS,,,,06-13-2024</v>
      </c>
      <c r="M5" s="37"/>
    </row>
    <row r="6" ht="48.75" customHeight="1">
      <c r="A6" s="36" t="s">
        <v>237</v>
      </c>
      <c r="B6" s="37" t="str">
        <f>Samples!W194</f>
        <v>HP185-193,HP185-20240613,Gelatin 2.5,control,liquid,,Gelatin 2.5,,,,,4,,,,,,DS,1.3125,,,06-13-2024</v>
      </c>
      <c r="C6" s="37" t="str">
        <f>Samples!W195</f>
        <v>HP185-194,HP185-20240613,Gelatin 1.25,control,liquid,,Gelatin 1.25,,,,,4,,,,,,DS,0.65625,,,06-13-2024</v>
      </c>
      <c r="D6" s="37" t="str">
        <f>Samples!W196</f>
        <v>HP185-195,HP185-20240613,Gelatin 0.625,control,liquid,,Gelatin 0.625,,,,,4,,,,,,DS,0.328125,,,06-13-2024</v>
      </c>
      <c r="E6" s="37" t="str">
        <f>Samples!W197</f>
        <v>HP185-196,HP185-20240613,Gelatin 0.3125,control,liquid,,Gelatin 0.3125,,,,,4,,,,,,DS,0.1640625,,,06-13-2024</v>
      </c>
      <c r="F6" s="37" t="str">
        <f>Samples!W198</f>
        <v>HP185-197,HP185-20240613,Gelatin 0.15625,control,liquid,,Gelatin 0.15625,,,,,4,,,,,,DS,0.08203125,,,06-13-2024</v>
      </c>
      <c r="G6" s="37" t="str">
        <f>Samples!W199</f>
        <v>HP185-198,HP185-20240613,Gelatin 0,control,liquid,,Gelatin 0,,,,,4,,,,,,DS,0,,,06-13-2024</v>
      </c>
      <c r="H6" s="37" t="str">
        <f>Samples!W188</f>
        <v>HP185-187,HP185-20240613,Hydroxyproline St1,standard,liquid,,Hydroxyproline St1,,,,,,,,,,,DS,1,,,06-13-2024</v>
      </c>
      <c r="I6" s="37" t="str">
        <f>Samples!W189</f>
        <v>HP185-188,HP185-20240613,Hydroxyproline St2,standard,liquid,,Hydroxyproline St2,,,,,,,,,,,DS,0.8,,,06-13-2024</v>
      </c>
      <c r="J6" s="37" t="str">
        <f>Samples!W190</f>
        <v>HP185-189,HP185-20240613,Hydroxyproline St3,standard,liquid,,Hydroxyproline St3,,,,,,,,,,,DS,0.6,,,06-13-2024</v>
      </c>
      <c r="K6" s="37" t="str">
        <f>Samples!W191</f>
        <v>HP185-190,HP185-20240613,Hydroxyproline St4,standard,liquid,,Hydroxyproline St4,,,,,,,,,,,DS,0.4,,,06-13-2024</v>
      </c>
      <c r="L6" s="37" t="str">
        <f>Samples!W192</f>
        <v>HP185-191,HP185-20240613,Hydroxyproline St5,standard,liquid,,Hydroxyproline St5,,,,,,,,,,,DS,0.2,,,06-13-2024</v>
      </c>
      <c r="M6" s="37" t="str">
        <f>Samples!W193</f>
        <v>HP185-192,HP185-20240613,Hydroxyproline St6,standard,liquid,,Hydroxyproline St6,,,,,,,,,,,DS,0,,,06-13-2024</v>
      </c>
    </row>
    <row r="7" ht="48.75" customHeight="1">
      <c r="A7" s="36" t="s">
        <v>238</v>
      </c>
      <c r="B7" s="37" t="str">
        <f>Samples!W194</f>
        <v>HP185-193,HP185-20240613,Gelatin 2.5,control,liquid,,Gelatin 2.5,,,,,4,,,,,,DS,1.3125,,,06-13-2024</v>
      </c>
      <c r="C7" s="37" t="str">
        <f>Samples!W195</f>
        <v>HP185-194,HP185-20240613,Gelatin 1.25,control,liquid,,Gelatin 1.25,,,,,4,,,,,,DS,0.65625,,,06-13-2024</v>
      </c>
      <c r="D7" s="37" t="str">
        <f>Samples!W196</f>
        <v>HP185-195,HP185-20240613,Gelatin 0.625,control,liquid,,Gelatin 0.625,,,,,4,,,,,,DS,0.328125,,,06-13-2024</v>
      </c>
      <c r="E7" s="37" t="str">
        <f>Samples!W197</f>
        <v>HP185-196,HP185-20240613,Gelatin 0.3125,control,liquid,,Gelatin 0.3125,,,,,4,,,,,,DS,0.1640625,,,06-13-2024</v>
      </c>
      <c r="F7" s="37" t="str">
        <f>Samples!W198</f>
        <v>HP185-197,HP185-20240613,Gelatin 0.15625,control,liquid,,Gelatin 0.15625,,,,,4,,,,,,DS,0.08203125,,,06-13-2024</v>
      </c>
      <c r="G7" s="37" t="str">
        <f>Samples!W199</f>
        <v>HP185-198,HP185-20240613,Gelatin 0,control,liquid,,Gelatin 0,,,,,4,,,,,,DS,0,,,06-13-2024</v>
      </c>
      <c r="H7" s="37" t="str">
        <f>Samples!W188</f>
        <v>HP185-187,HP185-20240613,Hydroxyproline St1,standard,liquid,,Hydroxyproline St1,,,,,,,,,,,DS,1,,,06-13-2024</v>
      </c>
      <c r="I7" s="37" t="str">
        <f>Samples!W189</f>
        <v>HP185-188,HP185-20240613,Hydroxyproline St2,standard,liquid,,Hydroxyproline St2,,,,,,,,,,,DS,0.8,,,06-13-2024</v>
      </c>
      <c r="J7" s="37" t="str">
        <f>Samples!W190</f>
        <v>HP185-189,HP185-20240613,Hydroxyproline St3,standard,liquid,,Hydroxyproline St3,,,,,,,,,,,DS,0.6,,,06-13-2024</v>
      </c>
      <c r="K7" s="37" t="str">
        <f>Samples!W191</f>
        <v>HP185-190,HP185-20240613,Hydroxyproline St4,standard,liquid,,Hydroxyproline St4,,,,,,,,,,,DS,0.4,,,06-13-2024</v>
      </c>
      <c r="L7" s="37" t="str">
        <f>Samples!W192</f>
        <v>HP185-191,HP185-20240613,Hydroxyproline St5,standard,liquid,,Hydroxyproline St5,,,,,,,,,,,DS,0.2,,,06-13-2024</v>
      </c>
      <c r="M7" s="37" t="str">
        <f>Samples!W193</f>
        <v>HP185-192,HP185-20240613,Hydroxyproline St6,standard,liquid,,Hydroxyproline St6,,,,,,,,,,,DS,0,,,06-13-2024</v>
      </c>
    </row>
    <row r="8" ht="48.75" customHeight="1">
      <c r="A8" s="36" t="s">
        <v>239</v>
      </c>
      <c r="B8" s="37" t="str">
        <f>Samples!W194</f>
        <v>HP185-193,HP185-20240613,Gelatin 2.5,control,liquid,,Gelatin 2.5,,,,,4,,,,,,DS,1.3125,,,06-13-2024</v>
      </c>
      <c r="C8" s="37" t="str">
        <f>Samples!W195</f>
        <v>HP185-194,HP185-20240613,Gelatin 1.25,control,liquid,,Gelatin 1.25,,,,,4,,,,,,DS,0.65625,,,06-13-2024</v>
      </c>
      <c r="D8" s="37" t="str">
        <f>Samples!W196</f>
        <v>HP185-195,HP185-20240613,Gelatin 0.625,control,liquid,,Gelatin 0.625,,,,,4,,,,,,DS,0.328125,,,06-13-2024</v>
      </c>
      <c r="E8" s="37" t="str">
        <f>Samples!W197</f>
        <v>HP185-196,HP185-20240613,Gelatin 0.3125,control,liquid,,Gelatin 0.3125,,,,,4,,,,,,DS,0.1640625,,,06-13-2024</v>
      </c>
      <c r="F8" s="37" t="str">
        <f>Samples!W198</f>
        <v>HP185-197,HP185-20240613,Gelatin 0.15625,control,liquid,,Gelatin 0.15625,,,,,4,,,,,,DS,0.08203125,,,06-13-2024</v>
      </c>
      <c r="G8" s="37" t="str">
        <f>Samples!W199</f>
        <v>HP185-198,HP185-20240613,Gelatin 0,control,liquid,,Gelatin 0,,,,,4,,,,,,DS,0,,,06-13-2024</v>
      </c>
      <c r="H8" s="37"/>
      <c r="I8" s="38"/>
      <c r="J8" s="38"/>
      <c r="K8" s="38"/>
      <c r="L8" s="38"/>
      <c r="M8" s="38"/>
    </row>
    <row r="9" ht="48.75" customHeight="1">
      <c r="A9" s="36" t="s">
        <v>240</v>
      </c>
      <c r="B9" s="37" t="str">
        <f>Samples!W194</f>
        <v>HP185-193,HP185-20240613,Gelatin 2.5,control,liquid,,Gelatin 2.5,,,,,4,,,,,,DS,1.3125,,,06-13-2024</v>
      </c>
      <c r="C9" s="37" t="str">
        <f>Samples!W195</f>
        <v>HP185-194,HP185-20240613,Gelatin 1.25,control,liquid,,Gelatin 1.25,,,,,4,,,,,,DS,0.65625,,,06-13-2024</v>
      </c>
      <c r="D9" s="37" t="str">
        <f>Samples!W196</f>
        <v>HP185-195,HP185-20240613,Gelatin 0.625,control,liquid,,Gelatin 0.625,,,,,4,,,,,,DS,0.328125,,,06-13-2024</v>
      </c>
      <c r="E9" s="37" t="str">
        <f>Samples!W197</f>
        <v>HP185-196,HP185-20240613,Gelatin 0.3125,control,liquid,,Gelatin 0.3125,,,,,4,,,,,,DS,0.1640625,,,06-13-2024</v>
      </c>
      <c r="F9" s="37" t="str">
        <f>Samples!W198</f>
        <v>HP185-197,HP185-20240613,Gelatin 0.15625,control,liquid,,Gelatin 0.15625,,,,,4,,,,,,DS,0.08203125,,,06-13-2024</v>
      </c>
      <c r="G9" s="37" t="str">
        <f>Samples!W199</f>
        <v>HP185-198,HP185-20240613,Gelatin 0,control,liquid,,Gelatin 0,,,,,4,,,,,,DS,0,,,06-13-2024</v>
      </c>
      <c r="H9" s="37"/>
      <c r="I9" s="38"/>
      <c r="J9" s="38"/>
      <c r="K9" s="38"/>
      <c r="L9" s="38"/>
      <c r="M9" s="3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4.11"/>
    <col customWidth="1" min="3" max="3" width="13.89"/>
    <col customWidth="1" min="4" max="4" width="14.56"/>
    <col customWidth="1" min="5" max="5" width="21.67"/>
    <col customWidth="1" min="6" max="7" width="15.44"/>
    <col customWidth="1" min="8" max="8" width="23.56"/>
    <col customWidth="1" min="9" max="9" width="15.44"/>
    <col customWidth="1" min="10" max="10" width="16.56"/>
  </cols>
  <sheetData>
    <row r="1">
      <c r="A1" s="39" t="s">
        <v>2</v>
      </c>
      <c r="B1" s="40" t="s">
        <v>241</v>
      </c>
      <c r="C1" s="40" t="s">
        <v>242</v>
      </c>
      <c r="D1" s="40" t="s">
        <v>243</v>
      </c>
      <c r="E1" s="39" t="s">
        <v>244</v>
      </c>
      <c r="F1" s="39" t="s">
        <v>245</v>
      </c>
      <c r="G1" s="40" t="s">
        <v>246</v>
      </c>
      <c r="H1" s="40" t="s">
        <v>247</v>
      </c>
      <c r="I1" s="40" t="s">
        <v>248</v>
      </c>
      <c r="J1" s="39" t="s">
        <v>249</v>
      </c>
    </row>
    <row r="2">
      <c r="A2" s="41" t="str">
        <f t="array" ref="A2:A387">Samples!C2:C392</f>
        <v>BDF 50uM AA2P scaffolds 1-4, D3 Ind #1</v>
      </c>
      <c r="B2" s="40">
        <v>200.0</v>
      </c>
      <c r="C2" s="40">
        <v>100.0</v>
      </c>
      <c r="D2" s="40">
        <v>500.0</v>
      </c>
      <c r="E2" s="30">
        <f t="shared" ref="E2:E392" si="1">if(B2="","",sum(B2:D2))</f>
        <v>800</v>
      </c>
      <c r="F2" s="42">
        <f t="shared" ref="F2:F392" si="2">if(OR(B2="",A2=""),"",sum(B2:D2)/B2)</f>
        <v>4</v>
      </c>
      <c r="G2" s="40" t="b">
        <v>0</v>
      </c>
      <c r="H2" s="40"/>
      <c r="I2" s="40"/>
      <c r="J2" s="41">
        <f t="shared" ref="J2:J392" si="3">if(G2=TRUE, sum(B2:D2)/B2*sum(H2:I2)/H2,F2)</f>
        <v>4</v>
      </c>
    </row>
    <row r="3">
      <c r="A3" s="41" t="s">
        <v>34</v>
      </c>
      <c r="B3" s="40">
        <v>200.0</v>
      </c>
      <c r="C3" s="40">
        <v>100.0</v>
      </c>
      <c r="D3" s="40">
        <v>500.0</v>
      </c>
      <c r="E3" s="30">
        <f t="shared" si="1"/>
        <v>800</v>
      </c>
      <c r="F3" s="42">
        <f t="shared" si="2"/>
        <v>4</v>
      </c>
      <c r="G3" s="40" t="b">
        <v>0</v>
      </c>
      <c r="H3" s="40"/>
      <c r="I3" s="40"/>
      <c r="J3" s="41">
        <f t="shared" si="3"/>
        <v>4</v>
      </c>
    </row>
    <row r="4">
      <c r="A4" s="41" t="s">
        <v>35</v>
      </c>
      <c r="B4" s="40">
        <v>200.0</v>
      </c>
      <c r="C4" s="40">
        <v>100.0</v>
      </c>
      <c r="D4" s="40">
        <v>500.0</v>
      </c>
      <c r="E4" s="30">
        <f t="shared" si="1"/>
        <v>800</v>
      </c>
      <c r="F4" s="42">
        <f t="shared" si="2"/>
        <v>4</v>
      </c>
      <c r="G4" s="40" t="b">
        <v>0</v>
      </c>
      <c r="H4" s="41"/>
      <c r="I4" s="41"/>
      <c r="J4" s="41">
        <f t="shared" si="3"/>
        <v>4</v>
      </c>
    </row>
    <row r="5">
      <c r="A5" s="41" t="s">
        <v>36</v>
      </c>
      <c r="B5" s="40">
        <v>200.0</v>
      </c>
      <c r="C5" s="40">
        <v>100.0</v>
      </c>
      <c r="D5" s="40">
        <v>500.0</v>
      </c>
      <c r="E5" s="30">
        <f t="shared" si="1"/>
        <v>800</v>
      </c>
      <c r="F5" s="42">
        <f t="shared" si="2"/>
        <v>4</v>
      </c>
      <c r="G5" s="40" t="b">
        <v>0</v>
      </c>
      <c r="H5" s="41"/>
      <c r="I5" s="41"/>
      <c r="J5" s="41">
        <f t="shared" si="3"/>
        <v>4</v>
      </c>
    </row>
    <row r="6">
      <c r="A6" s="41" t="s">
        <v>37</v>
      </c>
      <c r="B6" s="40">
        <v>200.0</v>
      </c>
      <c r="C6" s="40">
        <v>100.0</v>
      </c>
      <c r="D6" s="40">
        <v>500.0</v>
      </c>
      <c r="E6" s="30">
        <f t="shared" si="1"/>
        <v>800</v>
      </c>
      <c r="F6" s="42">
        <f t="shared" si="2"/>
        <v>4</v>
      </c>
      <c r="G6" s="40" t="b">
        <v>0</v>
      </c>
      <c r="H6" s="41"/>
      <c r="I6" s="41"/>
      <c r="J6" s="41">
        <f t="shared" si="3"/>
        <v>4</v>
      </c>
    </row>
    <row r="7">
      <c r="A7" s="41" t="s">
        <v>38</v>
      </c>
      <c r="B7" s="40">
        <v>200.0</v>
      </c>
      <c r="C7" s="40">
        <v>100.0</v>
      </c>
      <c r="D7" s="40">
        <v>500.0</v>
      </c>
      <c r="E7" s="30">
        <f t="shared" si="1"/>
        <v>800</v>
      </c>
      <c r="F7" s="42">
        <f t="shared" si="2"/>
        <v>4</v>
      </c>
      <c r="G7" s="40" t="b">
        <v>0</v>
      </c>
      <c r="H7" s="41"/>
      <c r="I7" s="41"/>
      <c r="J7" s="41">
        <f t="shared" si="3"/>
        <v>4</v>
      </c>
    </row>
    <row r="8">
      <c r="A8" s="41" t="s">
        <v>39</v>
      </c>
      <c r="B8" s="40">
        <v>200.0</v>
      </c>
      <c r="C8" s="40">
        <v>100.0</v>
      </c>
      <c r="D8" s="40">
        <v>500.0</v>
      </c>
      <c r="E8" s="30">
        <f t="shared" si="1"/>
        <v>800</v>
      </c>
      <c r="F8" s="42">
        <f t="shared" si="2"/>
        <v>4</v>
      </c>
      <c r="G8" s="40" t="b">
        <v>0</v>
      </c>
      <c r="H8" s="41"/>
      <c r="I8" s="41"/>
      <c r="J8" s="41">
        <f t="shared" si="3"/>
        <v>4</v>
      </c>
    </row>
    <row r="9">
      <c r="A9" s="41" t="s">
        <v>40</v>
      </c>
      <c r="B9" s="40">
        <v>200.0</v>
      </c>
      <c r="C9" s="40">
        <v>100.0</v>
      </c>
      <c r="D9" s="40">
        <v>500.0</v>
      </c>
      <c r="E9" s="30">
        <f t="shared" si="1"/>
        <v>800</v>
      </c>
      <c r="F9" s="42">
        <f t="shared" si="2"/>
        <v>4</v>
      </c>
      <c r="G9" s="40" t="b">
        <v>0</v>
      </c>
      <c r="H9" s="41"/>
      <c r="I9" s="41"/>
      <c r="J9" s="41">
        <f t="shared" si="3"/>
        <v>4</v>
      </c>
    </row>
    <row r="10">
      <c r="A10" s="41" t="s">
        <v>41</v>
      </c>
      <c r="B10" s="40">
        <v>200.0</v>
      </c>
      <c r="C10" s="40">
        <v>100.0</v>
      </c>
      <c r="D10" s="40">
        <v>500.0</v>
      </c>
      <c r="E10" s="30">
        <f t="shared" si="1"/>
        <v>800</v>
      </c>
      <c r="F10" s="42">
        <f t="shared" si="2"/>
        <v>4</v>
      </c>
      <c r="G10" s="40" t="b">
        <v>0</v>
      </c>
      <c r="H10" s="41"/>
      <c r="I10" s="41"/>
      <c r="J10" s="41">
        <f t="shared" si="3"/>
        <v>4</v>
      </c>
    </row>
    <row r="11">
      <c r="A11" s="41" t="s">
        <v>42</v>
      </c>
      <c r="B11" s="40">
        <v>200.0</v>
      </c>
      <c r="C11" s="40">
        <v>100.0</v>
      </c>
      <c r="D11" s="40">
        <v>500.0</v>
      </c>
      <c r="E11" s="30">
        <f t="shared" si="1"/>
        <v>800</v>
      </c>
      <c r="F11" s="42">
        <f t="shared" si="2"/>
        <v>4</v>
      </c>
      <c r="G11" s="40" t="b">
        <v>0</v>
      </c>
      <c r="H11" s="41"/>
      <c r="I11" s="41"/>
      <c r="J11" s="41">
        <f t="shared" si="3"/>
        <v>4</v>
      </c>
    </row>
    <row r="12">
      <c r="A12" s="41" t="s">
        <v>43</v>
      </c>
      <c r="B12" s="40">
        <v>200.0</v>
      </c>
      <c r="C12" s="40">
        <v>100.0</v>
      </c>
      <c r="D12" s="40">
        <v>500.0</v>
      </c>
      <c r="E12" s="30">
        <f t="shared" si="1"/>
        <v>800</v>
      </c>
      <c r="F12" s="42">
        <f t="shared" si="2"/>
        <v>4</v>
      </c>
      <c r="G12" s="40" t="b">
        <v>0</v>
      </c>
      <c r="H12" s="41"/>
      <c r="I12" s="41"/>
      <c r="J12" s="41">
        <f t="shared" si="3"/>
        <v>4</v>
      </c>
    </row>
    <row r="13">
      <c r="A13" s="41" t="s">
        <v>44</v>
      </c>
      <c r="B13" s="40">
        <v>200.0</v>
      </c>
      <c r="C13" s="40">
        <v>100.0</v>
      </c>
      <c r="D13" s="40">
        <v>500.0</v>
      </c>
      <c r="E13" s="30">
        <f t="shared" si="1"/>
        <v>800</v>
      </c>
      <c r="F13" s="42">
        <f t="shared" si="2"/>
        <v>4</v>
      </c>
      <c r="G13" s="40" t="b">
        <v>0</v>
      </c>
      <c r="H13" s="41"/>
      <c r="I13" s="41"/>
      <c r="J13" s="41">
        <f t="shared" si="3"/>
        <v>4</v>
      </c>
    </row>
    <row r="14">
      <c r="A14" s="41" t="s">
        <v>45</v>
      </c>
      <c r="B14" s="40">
        <v>200.0</v>
      </c>
      <c r="C14" s="40">
        <v>100.0</v>
      </c>
      <c r="D14" s="40">
        <v>500.0</v>
      </c>
      <c r="E14" s="30">
        <f t="shared" si="1"/>
        <v>800</v>
      </c>
      <c r="F14" s="42">
        <f t="shared" si="2"/>
        <v>4</v>
      </c>
      <c r="G14" s="40" t="b">
        <v>0</v>
      </c>
      <c r="H14" s="41"/>
      <c r="I14" s="41"/>
      <c r="J14" s="41">
        <f t="shared" si="3"/>
        <v>4</v>
      </c>
    </row>
    <row r="15">
      <c r="A15" s="41" t="s">
        <v>46</v>
      </c>
      <c r="B15" s="40">
        <v>200.0</v>
      </c>
      <c r="C15" s="40">
        <v>100.0</v>
      </c>
      <c r="D15" s="40">
        <v>500.0</v>
      </c>
      <c r="E15" s="30">
        <f t="shared" si="1"/>
        <v>800</v>
      </c>
      <c r="F15" s="42">
        <f t="shared" si="2"/>
        <v>4</v>
      </c>
      <c r="G15" s="40" t="b">
        <v>0</v>
      </c>
      <c r="H15" s="41"/>
      <c r="I15" s="41"/>
      <c r="J15" s="41">
        <f t="shared" si="3"/>
        <v>4</v>
      </c>
    </row>
    <row r="16">
      <c r="A16" s="41" t="s">
        <v>47</v>
      </c>
      <c r="B16" s="40">
        <v>200.0</v>
      </c>
      <c r="C16" s="40">
        <v>100.0</v>
      </c>
      <c r="D16" s="40">
        <v>500.0</v>
      </c>
      <c r="E16" s="30">
        <f t="shared" si="1"/>
        <v>800</v>
      </c>
      <c r="F16" s="42">
        <f t="shared" si="2"/>
        <v>4</v>
      </c>
      <c r="G16" s="40" t="b">
        <v>0</v>
      </c>
      <c r="H16" s="41"/>
      <c r="I16" s="41"/>
      <c r="J16" s="41">
        <f t="shared" si="3"/>
        <v>4</v>
      </c>
    </row>
    <row r="17">
      <c r="A17" s="41" t="s">
        <v>48</v>
      </c>
      <c r="B17" s="40">
        <v>200.0</v>
      </c>
      <c r="C17" s="40">
        <v>100.0</v>
      </c>
      <c r="D17" s="40">
        <v>500.0</v>
      </c>
      <c r="E17" s="30">
        <f t="shared" si="1"/>
        <v>800</v>
      </c>
      <c r="F17" s="42">
        <f t="shared" si="2"/>
        <v>4</v>
      </c>
      <c r="G17" s="40" t="b">
        <v>0</v>
      </c>
      <c r="H17" s="41"/>
      <c r="I17" s="41"/>
      <c r="J17" s="41">
        <f t="shared" si="3"/>
        <v>4</v>
      </c>
    </row>
    <row r="18">
      <c r="A18" s="41" t="s">
        <v>49</v>
      </c>
      <c r="B18" s="40">
        <v>200.0</v>
      </c>
      <c r="C18" s="40">
        <v>100.0</v>
      </c>
      <c r="D18" s="40">
        <v>500.0</v>
      </c>
      <c r="E18" s="30">
        <f t="shared" si="1"/>
        <v>800</v>
      </c>
      <c r="F18" s="42">
        <f t="shared" si="2"/>
        <v>4</v>
      </c>
      <c r="G18" s="40" t="b">
        <v>0</v>
      </c>
      <c r="H18" s="41"/>
      <c r="I18" s="41"/>
      <c r="J18" s="41">
        <f t="shared" si="3"/>
        <v>4</v>
      </c>
    </row>
    <row r="19">
      <c r="A19" s="41" t="s">
        <v>50</v>
      </c>
      <c r="B19" s="40">
        <v>200.0</v>
      </c>
      <c r="C19" s="40">
        <v>100.0</v>
      </c>
      <c r="D19" s="40">
        <v>500.0</v>
      </c>
      <c r="E19" s="30">
        <f t="shared" si="1"/>
        <v>800</v>
      </c>
      <c r="F19" s="42">
        <f t="shared" si="2"/>
        <v>4</v>
      </c>
      <c r="G19" s="40" t="b">
        <v>0</v>
      </c>
      <c r="H19" s="41"/>
      <c r="I19" s="41"/>
      <c r="J19" s="41">
        <f t="shared" si="3"/>
        <v>4</v>
      </c>
    </row>
    <row r="20">
      <c r="A20" s="41" t="s">
        <v>51</v>
      </c>
      <c r="B20" s="40">
        <v>200.0</v>
      </c>
      <c r="C20" s="40">
        <v>100.0</v>
      </c>
      <c r="D20" s="40">
        <v>500.0</v>
      </c>
      <c r="E20" s="30">
        <f t="shared" si="1"/>
        <v>800</v>
      </c>
      <c r="F20" s="42">
        <f t="shared" si="2"/>
        <v>4</v>
      </c>
      <c r="G20" s="40" t="b">
        <v>0</v>
      </c>
      <c r="H20" s="41"/>
      <c r="I20" s="41"/>
      <c r="J20" s="41">
        <f t="shared" si="3"/>
        <v>4</v>
      </c>
    </row>
    <row r="21">
      <c r="A21" s="41" t="s">
        <v>52</v>
      </c>
      <c r="B21" s="40">
        <v>200.0</v>
      </c>
      <c r="C21" s="40">
        <v>100.0</v>
      </c>
      <c r="D21" s="40">
        <v>500.0</v>
      </c>
      <c r="E21" s="30">
        <f t="shared" si="1"/>
        <v>800</v>
      </c>
      <c r="F21" s="42">
        <f t="shared" si="2"/>
        <v>4</v>
      </c>
      <c r="G21" s="40" t="b">
        <v>0</v>
      </c>
      <c r="H21" s="41"/>
      <c r="I21" s="41"/>
      <c r="J21" s="41">
        <f t="shared" si="3"/>
        <v>4</v>
      </c>
    </row>
    <row r="22">
      <c r="A22" s="41" t="s">
        <v>53</v>
      </c>
      <c r="B22" s="40">
        <v>200.0</v>
      </c>
      <c r="C22" s="40">
        <v>100.0</v>
      </c>
      <c r="D22" s="40">
        <v>500.0</v>
      </c>
      <c r="E22" s="30">
        <f t="shared" si="1"/>
        <v>800</v>
      </c>
      <c r="F22" s="42">
        <f t="shared" si="2"/>
        <v>4</v>
      </c>
      <c r="G22" s="40" t="b">
        <v>0</v>
      </c>
      <c r="H22" s="41"/>
      <c r="I22" s="41"/>
      <c r="J22" s="41">
        <f t="shared" si="3"/>
        <v>4</v>
      </c>
    </row>
    <row r="23">
      <c r="A23" s="41" t="s">
        <v>54</v>
      </c>
      <c r="B23" s="40">
        <v>200.0</v>
      </c>
      <c r="C23" s="40">
        <v>100.0</v>
      </c>
      <c r="D23" s="40">
        <v>500.0</v>
      </c>
      <c r="E23" s="30">
        <f t="shared" si="1"/>
        <v>800</v>
      </c>
      <c r="F23" s="42">
        <f t="shared" si="2"/>
        <v>4</v>
      </c>
      <c r="G23" s="40" t="b">
        <v>0</v>
      </c>
      <c r="H23" s="41"/>
      <c r="I23" s="41"/>
      <c r="J23" s="41">
        <f t="shared" si="3"/>
        <v>4</v>
      </c>
    </row>
    <row r="24">
      <c r="A24" s="41" t="s">
        <v>55</v>
      </c>
      <c r="B24" s="40">
        <v>200.0</v>
      </c>
      <c r="C24" s="40">
        <v>100.0</v>
      </c>
      <c r="D24" s="40">
        <v>500.0</v>
      </c>
      <c r="E24" s="30">
        <f t="shared" si="1"/>
        <v>800</v>
      </c>
      <c r="F24" s="42">
        <f t="shared" si="2"/>
        <v>4</v>
      </c>
      <c r="G24" s="40" t="b">
        <v>0</v>
      </c>
      <c r="H24" s="41"/>
      <c r="I24" s="41"/>
      <c r="J24" s="41">
        <f t="shared" si="3"/>
        <v>4</v>
      </c>
    </row>
    <row r="25">
      <c r="A25" s="41" t="s">
        <v>56</v>
      </c>
      <c r="B25" s="40">
        <v>200.0</v>
      </c>
      <c r="C25" s="40">
        <v>100.0</v>
      </c>
      <c r="D25" s="40">
        <v>500.0</v>
      </c>
      <c r="E25" s="30">
        <f t="shared" si="1"/>
        <v>800</v>
      </c>
      <c r="F25" s="42">
        <f t="shared" si="2"/>
        <v>4</v>
      </c>
      <c r="G25" s="40" t="b">
        <v>0</v>
      </c>
      <c r="H25" s="41"/>
      <c r="I25" s="41"/>
      <c r="J25" s="41">
        <f t="shared" si="3"/>
        <v>4</v>
      </c>
    </row>
    <row r="26">
      <c r="A26" s="41" t="s">
        <v>57</v>
      </c>
      <c r="B26" s="40">
        <v>200.0</v>
      </c>
      <c r="C26" s="40">
        <v>100.0</v>
      </c>
      <c r="D26" s="40">
        <v>500.0</v>
      </c>
      <c r="E26" s="30">
        <f t="shared" si="1"/>
        <v>800</v>
      </c>
      <c r="F26" s="42">
        <f t="shared" si="2"/>
        <v>4</v>
      </c>
      <c r="G26" s="40" t="b">
        <v>0</v>
      </c>
      <c r="H26" s="41"/>
      <c r="I26" s="41"/>
      <c r="J26" s="41">
        <f t="shared" si="3"/>
        <v>4</v>
      </c>
    </row>
    <row r="27">
      <c r="A27" s="41" t="s">
        <v>58</v>
      </c>
      <c r="B27" s="40">
        <v>200.0</v>
      </c>
      <c r="C27" s="40">
        <v>100.0</v>
      </c>
      <c r="D27" s="40">
        <v>500.0</v>
      </c>
      <c r="E27" s="30">
        <f t="shared" si="1"/>
        <v>800</v>
      </c>
      <c r="F27" s="42">
        <f t="shared" si="2"/>
        <v>4</v>
      </c>
      <c r="G27" s="40" t="b">
        <v>0</v>
      </c>
      <c r="H27" s="41"/>
      <c r="I27" s="41"/>
      <c r="J27" s="41">
        <f t="shared" si="3"/>
        <v>4</v>
      </c>
    </row>
    <row r="28">
      <c r="A28" s="41" t="s">
        <v>59</v>
      </c>
      <c r="B28" s="40">
        <v>200.0</v>
      </c>
      <c r="C28" s="40">
        <v>100.0</v>
      </c>
      <c r="D28" s="40">
        <v>500.0</v>
      </c>
      <c r="E28" s="30">
        <f t="shared" si="1"/>
        <v>800</v>
      </c>
      <c r="F28" s="42">
        <f t="shared" si="2"/>
        <v>4</v>
      </c>
      <c r="G28" s="40" t="b">
        <v>0</v>
      </c>
      <c r="H28" s="41"/>
      <c r="I28" s="41"/>
      <c r="J28" s="41">
        <f t="shared" si="3"/>
        <v>4</v>
      </c>
    </row>
    <row r="29">
      <c r="A29" s="41" t="s">
        <v>60</v>
      </c>
      <c r="B29" s="40">
        <v>200.0</v>
      </c>
      <c r="C29" s="40">
        <v>100.0</v>
      </c>
      <c r="D29" s="40">
        <v>500.0</v>
      </c>
      <c r="E29" s="30">
        <f t="shared" si="1"/>
        <v>800</v>
      </c>
      <c r="F29" s="42">
        <f t="shared" si="2"/>
        <v>4</v>
      </c>
      <c r="G29" s="40" t="b">
        <v>0</v>
      </c>
      <c r="H29" s="41"/>
      <c r="I29" s="41"/>
      <c r="J29" s="41">
        <f t="shared" si="3"/>
        <v>4</v>
      </c>
    </row>
    <row r="30">
      <c r="A30" s="41" t="s">
        <v>61</v>
      </c>
      <c r="B30" s="40">
        <v>200.0</v>
      </c>
      <c r="C30" s="40">
        <v>100.0</v>
      </c>
      <c r="D30" s="40">
        <v>500.0</v>
      </c>
      <c r="E30" s="30">
        <f t="shared" si="1"/>
        <v>800</v>
      </c>
      <c r="F30" s="42">
        <f t="shared" si="2"/>
        <v>4</v>
      </c>
      <c r="G30" s="40" t="b">
        <v>0</v>
      </c>
      <c r="H30" s="41"/>
      <c r="I30" s="41"/>
      <c r="J30" s="41">
        <f t="shared" si="3"/>
        <v>4</v>
      </c>
    </row>
    <row r="31">
      <c r="A31" s="41" t="s">
        <v>62</v>
      </c>
      <c r="B31" s="40">
        <v>200.0</v>
      </c>
      <c r="C31" s="40">
        <v>100.0</v>
      </c>
      <c r="D31" s="40">
        <v>500.0</v>
      </c>
      <c r="E31" s="30">
        <f t="shared" si="1"/>
        <v>800</v>
      </c>
      <c r="F31" s="42">
        <f t="shared" si="2"/>
        <v>4</v>
      </c>
      <c r="G31" s="40" t="b">
        <v>0</v>
      </c>
      <c r="H31" s="41"/>
      <c r="I31" s="41"/>
      <c r="J31" s="41">
        <f t="shared" si="3"/>
        <v>4</v>
      </c>
    </row>
    <row r="32">
      <c r="A32" s="41" t="s">
        <v>63</v>
      </c>
      <c r="B32" s="40">
        <v>200.0</v>
      </c>
      <c r="C32" s="40">
        <v>100.0</v>
      </c>
      <c r="D32" s="40">
        <v>500.0</v>
      </c>
      <c r="E32" s="30">
        <f t="shared" si="1"/>
        <v>800</v>
      </c>
      <c r="F32" s="42">
        <f t="shared" si="2"/>
        <v>4</v>
      </c>
      <c r="G32" s="40" t="b">
        <v>0</v>
      </c>
      <c r="H32" s="41"/>
      <c r="I32" s="41"/>
      <c r="J32" s="41">
        <f t="shared" si="3"/>
        <v>4</v>
      </c>
    </row>
    <row r="33">
      <c r="A33" s="41" t="s">
        <v>64</v>
      </c>
      <c r="B33" s="40">
        <v>200.0</v>
      </c>
      <c r="C33" s="40">
        <v>100.0</v>
      </c>
      <c r="D33" s="40">
        <v>500.0</v>
      </c>
      <c r="E33" s="30">
        <f t="shared" si="1"/>
        <v>800</v>
      </c>
      <c r="F33" s="42">
        <f t="shared" si="2"/>
        <v>4</v>
      </c>
      <c r="G33" s="40" t="b">
        <v>0</v>
      </c>
      <c r="H33" s="41"/>
      <c r="I33" s="41"/>
      <c r="J33" s="41">
        <f t="shared" si="3"/>
        <v>4</v>
      </c>
    </row>
    <row r="34">
      <c r="A34" s="41" t="s">
        <v>65</v>
      </c>
      <c r="B34" s="40">
        <v>200.0</v>
      </c>
      <c r="C34" s="40">
        <v>100.0</v>
      </c>
      <c r="D34" s="40">
        <v>500.0</v>
      </c>
      <c r="E34" s="30">
        <f t="shared" si="1"/>
        <v>800</v>
      </c>
      <c r="F34" s="42">
        <f t="shared" si="2"/>
        <v>4</v>
      </c>
      <c r="G34" s="40" t="b">
        <v>0</v>
      </c>
      <c r="H34" s="41"/>
      <c r="I34" s="41"/>
      <c r="J34" s="41">
        <f t="shared" si="3"/>
        <v>4</v>
      </c>
    </row>
    <row r="35">
      <c r="A35" s="41" t="s">
        <v>66</v>
      </c>
      <c r="B35" s="40">
        <v>200.0</v>
      </c>
      <c r="C35" s="40">
        <v>100.0</v>
      </c>
      <c r="D35" s="40">
        <v>500.0</v>
      </c>
      <c r="E35" s="30">
        <f t="shared" si="1"/>
        <v>800</v>
      </c>
      <c r="F35" s="42">
        <f t="shared" si="2"/>
        <v>4</v>
      </c>
      <c r="G35" s="40" t="b">
        <v>0</v>
      </c>
      <c r="H35" s="41"/>
      <c r="I35" s="41"/>
      <c r="J35" s="41">
        <f t="shared" si="3"/>
        <v>4</v>
      </c>
    </row>
    <row r="36">
      <c r="A36" s="41" t="s">
        <v>67</v>
      </c>
      <c r="B36" s="40">
        <v>200.0</v>
      </c>
      <c r="C36" s="40">
        <v>100.0</v>
      </c>
      <c r="D36" s="40">
        <v>500.0</v>
      </c>
      <c r="E36" s="30">
        <f t="shared" si="1"/>
        <v>800</v>
      </c>
      <c r="F36" s="42">
        <f t="shared" si="2"/>
        <v>4</v>
      </c>
      <c r="G36" s="40" t="b">
        <v>0</v>
      </c>
      <c r="H36" s="41"/>
      <c r="I36" s="41"/>
      <c r="J36" s="41">
        <f t="shared" si="3"/>
        <v>4</v>
      </c>
    </row>
    <row r="37">
      <c r="A37" s="41" t="s">
        <v>68</v>
      </c>
      <c r="B37" s="40">
        <v>200.0</v>
      </c>
      <c r="C37" s="40">
        <v>100.0</v>
      </c>
      <c r="D37" s="40">
        <v>500.0</v>
      </c>
      <c r="E37" s="30">
        <f t="shared" si="1"/>
        <v>800</v>
      </c>
      <c r="F37" s="42">
        <f t="shared" si="2"/>
        <v>4</v>
      </c>
      <c r="G37" s="40" t="b">
        <v>0</v>
      </c>
      <c r="H37" s="41"/>
      <c r="I37" s="41"/>
      <c r="J37" s="41">
        <f t="shared" si="3"/>
        <v>4</v>
      </c>
    </row>
    <row r="38">
      <c r="A38" s="41" t="s">
        <v>69</v>
      </c>
      <c r="B38" s="40">
        <v>200.0</v>
      </c>
      <c r="C38" s="40">
        <v>100.0</v>
      </c>
      <c r="D38" s="40">
        <v>500.0</v>
      </c>
      <c r="E38" s="30">
        <f t="shared" si="1"/>
        <v>800</v>
      </c>
      <c r="F38" s="42">
        <f t="shared" si="2"/>
        <v>4</v>
      </c>
      <c r="G38" s="40" t="b">
        <v>0</v>
      </c>
      <c r="H38" s="41"/>
      <c r="I38" s="41"/>
      <c r="J38" s="41">
        <f t="shared" si="3"/>
        <v>4</v>
      </c>
    </row>
    <row r="39">
      <c r="A39" s="41" t="s">
        <v>70</v>
      </c>
      <c r="B39" s="40">
        <v>200.0</v>
      </c>
      <c r="C39" s="40">
        <v>100.0</v>
      </c>
      <c r="D39" s="40">
        <v>500.0</v>
      </c>
      <c r="E39" s="30">
        <f t="shared" si="1"/>
        <v>800</v>
      </c>
      <c r="F39" s="42">
        <f t="shared" si="2"/>
        <v>4</v>
      </c>
      <c r="G39" s="40" t="b">
        <v>0</v>
      </c>
      <c r="H39" s="41"/>
      <c r="I39" s="41"/>
      <c r="J39" s="41">
        <f t="shared" si="3"/>
        <v>4</v>
      </c>
    </row>
    <row r="40">
      <c r="A40" s="41" t="s">
        <v>71</v>
      </c>
      <c r="B40" s="40">
        <v>200.0</v>
      </c>
      <c r="C40" s="40">
        <v>100.0</v>
      </c>
      <c r="D40" s="40">
        <v>500.0</v>
      </c>
      <c r="E40" s="30">
        <f t="shared" si="1"/>
        <v>800</v>
      </c>
      <c r="F40" s="42">
        <f t="shared" si="2"/>
        <v>4</v>
      </c>
      <c r="G40" s="40" t="b">
        <v>0</v>
      </c>
      <c r="H40" s="41"/>
      <c r="I40" s="41"/>
      <c r="J40" s="41">
        <f t="shared" si="3"/>
        <v>4</v>
      </c>
    </row>
    <row r="41">
      <c r="A41" s="41" t="s">
        <v>72</v>
      </c>
      <c r="B41" s="40">
        <v>200.0</v>
      </c>
      <c r="C41" s="40">
        <v>100.0</v>
      </c>
      <c r="D41" s="40">
        <v>500.0</v>
      </c>
      <c r="E41" s="30">
        <f t="shared" si="1"/>
        <v>800</v>
      </c>
      <c r="F41" s="42">
        <f t="shared" si="2"/>
        <v>4</v>
      </c>
      <c r="G41" s="40" t="b">
        <v>0</v>
      </c>
      <c r="H41" s="41"/>
      <c r="I41" s="41"/>
      <c r="J41" s="41">
        <f t="shared" si="3"/>
        <v>4</v>
      </c>
    </row>
    <row r="42">
      <c r="A42" s="41" t="s">
        <v>73</v>
      </c>
      <c r="B42" s="40">
        <v>200.0</v>
      </c>
      <c r="C42" s="40">
        <v>100.0</v>
      </c>
      <c r="D42" s="40">
        <v>500.0</v>
      </c>
      <c r="E42" s="30">
        <f t="shared" si="1"/>
        <v>800</v>
      </c>
      <c r="F42" s="42">
        <f t="shared" si="2"/>
        <v>4</v>
      </c>
      <c r="G42" s="40" t="b">
        <v>0</v>
      </c>
      <c r="H42" s="41"/>
      <c r="I42" s="41"/>
      <c r="J42" s="41">
        <f t="shared" si="3"/>
        <v>4</v>
      </c>
    </row>
    <row r="43">
      <c r="A43" s="41" t="s">
        <v>74</v>
      </c>
      <c r="B43" s="40">
        <v>200.0</v>
      </c>
      <c r="C43" s="40">
        <v>100.0</v>
      </c>
      <c r="D43" s="40">
        <v>500.0</v>
      </c>
      <c r="E43" s="30">
        <f t="shared" si="1"/>
        <v>800</v>
      </c>
      <c r="F43" s="42">
        <f t="shared" si="2"/>
        <v>4</v>
      </c>
      <c r="G43" s="40" t="b">
        <v>0</v>
      </c>
      <c r="H43" s="41"/>
      <c r="I43" s="41"/>
      <c r="J43" s="41">
        <f t="shared" si="3"/>
        <v>4</v>
      </c>
    </row>
    <row r="44">
      <c r="A44" s="41" t="s">
        <v>75</v>
      </c>
      <c r="B44" s="40">
        <v>200.0</v>
      </c>
      <c r="C44" s="40">
        <v>100.0</v>
      </c>
      <c r="D44" s="40">
        <v>500.0</v>
      </c>
      <c r="E44" s="30">
        <f t="shared" si="1"/>
        <v>800</v>
      </c>
      <c r="F44" s="42">
        <f t="shared" si="2"/>
        <v>4</v>
      </c>
      <c r="G44" s="40" t="b">
        <v>0</v>
      </c>
      <c r="H44" s="41"/>
      <c r="I44" s="41"/>
      <c r="J44" s="41">
        <f t="shared" si="3"/>
        <v>4</v>
      </c>
    </row>
    <row r="45">
      <c r="A45" s="41" t="s">
        <v>76</v>
      </c>
      <c r="B45" s="40">
        <v>200.0</v>
      </c>
      <c r="C45" s="40">
        <v>100.0</v>
      </c>
      <c r="D45" s="40">
        <v>500.0</v>
      </c>
      <c r="E45" s="30">
        <f t="shared" si="1"/>
        <v>800</v>
      </c>
      <c r="F45" s="42">
        <f t="shared" si="2"/>
        <v>4</v>
      </c>
      <c r="G45" s="40" t="b">
        <v>0</v>
      </c>
      <c r="H45" s="41"/>
      <c r="I45" s="41"/>
      <c r="J45" s="41">
        <f t="shared" si="3"/>
        <v>4</v>
      </c>
    </row>
    <row r="46">
      <c r="A46" s="41" t="s">
        <v>77</v>
      </c>
      <c r="B46" s="40">
        <v>200.0</v>
      </c>
      <c r="C46" s="40">
        <v>100.0</v>
      </c>
      <c r="D46" s="40">
        <v>500.0</v>
      </c>
      <c r="E46" s="30">
        <f t="shared" si="1"/>
        <v>800</v>
      </c>
      <c r="F46" s="42">
        <f t="shared" si="2"/>
        <v>4</v>
      </c>
      <c r="G46" s="40" t="b">
        <v>0</v>
      </c>
      <c r="H46" s="41"/>
      <c r="I46" s="41"/>
      <c r="J46" s="41">
        <f t="shared" si="3"/>
        <v>4</v>
      </c>
    </row>
    <row r="47">
      <c r="A47" s="41" t="s">
        <v>78</v>
      </c>
      <c r="B47" s="40">
        <v>200.0</v>
      </c>
      <c r="C47" s="40">
        <v>100.0</v>
      </c>
      <c r="D47" s="40">
        <v>500.0</v>
      </c>
      <c r="E47" s="30">
        <f t="shared" si="1"/>
        <v>800</v>
      </c>
      <c r="F47" s="42">
        <f t="shared" si="2"/>
        <v>4</v>
      </c>
      <c r="G47" s="40" t="b">
        <v>0</v>
      </c>
      <c r="H47" s="41"/>
      <c r="I47" s="41"/>
      <c r="J47" s="41">
        <f t="shared" si="3"/>
        <v>4</v>
      </c>
    </row>
    <row r="48">
      <c r="A48" s="41" t="s">
        <v>79</v>
      </c>
      <c r="B48" s="40">
        <v>200.0</v>
      </c>
      <c r="C48" s="40">
        <v>100.0</v>
      </c>
      <c r="D48" s="40">
        <v>500.0</v>
      </c>
      <c r="E48" s="30">
        <f t="shared" si="1"/>
        <v>800</v>
      </c>
      <c r="F48" s="42">
        <f t="shared" si="2"/>
        <v>4</v>
      </c>
      <c r="G48" s="40" t="b">
        <v>0</v>
      </c>
      <c r="H48" s="41"/>
      <c r="I48" s="41"/>
      <c r="J48" s="41">
        <f t="shared" si="3"/>
        <v>4</v>
      </c>
    </row>
    <row r="49">
      <c r="A49" s="41" t="s">
        <v>80</v>
      </c>
      <c r="B49" s="40">
        <v>200.0</v>
      </c>
      <c r="C49" s="40">
        <v>100.0</v>
      </c>
      <c r="D49" s="40">
        <v>500.0</v>
      </c>
      <c r="E49" s="30">
        <f t="shared" si="1"/>
        <v>800</v>
      </c>
      <c r="F49" s="42">
        <f t="shared" si="2"/>
        <v>4</v>
      </c>
      <c r="G49" s="40" t="b">
        <v>0</v>
      </c>
      <c r="H49" s="41"/>
      <c r="I49" s="41"/>
      <c r="J49" s="41">
        <f t="shared" si="3"/>
        <v>4</v>
      </c>
    </row>
    <row r="50">
      <c r="A50" s="41" t="s">
        <v>81</v>
      </c>
      <c r="B50" s="40">
        <v>200.0</v>
      </c>
      <c r="C50" s="40">
        <v>100.0</v>
      </c>
      <c r="D50" s="40">
        <v>500.0</v>
      </c>
      <c r="E50" s="30">
        <f t="shared" si="1"/>
        <v>800</v>
      </c>
      <c r="F50" s="42">
        <f t="shared" si="2"/>
        <v>4</v>
      </c>
      <c r="G50" s="40" t="b">
        <v>0</v>
      </c>
      <c r="H50" s="41"/>
      <c r="I50" s="41"/>
      <c r="J50" s="41">
        <f t="shared" si="3"/>
        <v>4</v>
      </c>
    </row>
    <row r="51">
      <c r="A51" s="41" t="s">
        <v>82</v>
      </c>
      <c r="B51" s="40">
        <v>200.0</v>
      </c>
      <c r="C51" s="40">
        <v>100.0</v>
      </c>
      <c r="D51" s="40">
        <v>500.0</v>
      </c>
      <c r="E51" s="30">
        <f t="shared" si="1"/>
        <v>800</v>
      </c>
      <c r="F51" s="42">
        <f t="shared" si="2"/>
        <v>4</v>
      </c>
      <c r="G51" s="40" t="b">
        <v>0</v>
      </c>
      <c r="H51" s="41"/>
      <c r="I51" s="41"/>
      <c r="J51" s="41">
        <f t="shared" si="3"/>
        <v>4</v>
      </c>
    </row>
    <row r="52">
      <c r="A52" s="41" t="s">
        <v>83</v>
      </c>
      <c r="B52" s="40">
        <v>200.0</v>
      </c>
      <c r="C52" s="40">
        <v>100.0</v>
      </c>
      <c r="D52" s="40">
        <v>500.0</v>
      </c>
      <c r="E52" s="30">
        <f t="shared" si="1"/>
        <v>800</v>
      </c>
      <c r="F52" s="42">
        <f t="shared" si="2"/>
        <v>4</v>
      </c>
      <c r="G52" s="40" t="b">
        <v>0</v>
      </c>
      <c r="H52" s="41"/>
      <c r="I52" s="41"/>
      <c r="J52" s="41">
        <f t="shared" si="3"/>
        <v>4</v>
      </c>
    </row>
    <row r="53">
      <c r="A53" s="41" t="s">
        <v>84</v>
      </c>
      <c r="B53" s="40">
        <v>200.0</v>
      </c>
      <c r="C53" s="40">
        <v>100.0</v>
      </c>
      <c r="D53" s="40">
        <v>500.0</v>
      </c>
      <c r="E53" s="30">
        <f t="shared" si="1"/>
        <v>800</v>
      </c>
      <c r="F53" s="42">
        <f t="shared" si="2"/>
        <v>4</v>
      </c>
      <c r="G53" s="40" t="b">
        <v>0</v>
      </c>
      <c r="H53" s="41"/>
      <c r="I53" s="41"/>
      <c r="J53" s="41">
        <f t="shared" si="3"/>
        <v>4</v>
      </c>
    </row>
    <row r="54">
      <c r="A54" s="41" t="s">
        <v>85</v>
      </c>
      <c r="B54" s="40">
        <v>200.0</v>
      </c>
      <c r="C54" s="40">
        <v>100.0</v>
      </c>
      <c r="D54" s="40">
        <v>500.0</v>
      </c>
      <c r="E54" s="30">
        <f t="shared" si="1"/>
        <v>800</v>
      </c>
      <c r="F54" s="42">
        <f t="shared" si="2"/>
        <v>4</v>
      </c>
      <c r="G54" s="40" t="b">
        <v>0</v>
      </c>
      <c r="H54" s="41"/>
      <c r="I54" s="41"/>
      <c r="J54" s="41">
        <f t="shared" si="3"/>
        <v>4</v>
      </c>
    </row>
    <row r="55">
      <c r="A55" s="41" t="s">
        <v>86</v>
      </c>
      <c r="B55" s="40">
        <v>200.0</v>
      </c>
      <c r="C55" s="40">
        <v>100.0</v>
      </c>
      <c r="D55" s="40">
        <v>500.0</v>
      </c>
      <c r="E55" s="30">
        <f t="shared" si="1"/>
        <v>800</v>
      </c>
      <c r="F55" s="42">
        <f t="shared" si="2"/>
        <v>4</v>
      </c>
      <c r="G55" s="40" t="b">
        <v>0</v>
      </c>
      <c r="H55" s="41"/>
      <c r="I55" s="41"/>
      <c r="J55" s="41">
        <f t="shared" si="3"/>
        <v>4</v>
      </c>
    </row>
    <row r="56">
      <c r="A56" s="41" t="s">
        <v>87</v>
      </c>
      <c r="B56" s="40">
        <v>200.0</v>
      </c>
      <c r="C56" s="40">
        <v>100.0</v>
      </c>
      <c r="D56" s="40">
        <v>500.0</v>
      </c>
      <c r="E56" s="30">
        <f t="shared" si="1"/>
        <v>800</v>
      </c>
      <c r="F56" s="42">
        <f t="shared" si="2"/>
        <v>4</v>
      </c>
      <c r="G56" s="40" t="b">
        <v>0</v>
      </c>
      <c r="H56" s="41"/>
      <c r="I56" s="41"/>
      <c r="J56" s="41">
        <f t="shared" si="3"/>
        <v>4</v>
      </c>
    </row>
    <row r="57">
      <c r="A57" s="41" t="s">
        <v>88</v>
      </c>
      <c r="B57" s="40">
        <v>200.0</v>
      </c>
      <c r="C57" s="40">
        <v>100.0</v>
      </c>
      <c r="D57" s="40">
        <v>500.0</v>
      </c>
      <c r="E57" s="30">
        <f t="shared" si="1"/>
        <v>800</v>
      </c>
      <c r="F57" s="42">
        <f t="shared" si="2"/>
        <v>4</v>
      </c>
      <c r="G57" s="40" t="b">
        <v>0</v>
      </c>
      <c r="H57" s="41"/>
      <c r="I57" s="41"/>
      <c r="J57" s="41">
        <f t="shared" si="3"/>
        <v>4</v>
      </c>
    </row>
    <row r="58">
      <c r="A58" s="41" t="s">
        <v>89</v>
      </c>
      <c r="B58" s="40">
        <v>200.0</v>
      </c>
      <c r="C58" s="40">
        <v>100.0</v>
      </c>
      <c r="D58" s="40">
        <v>500.0</v>
      </c>
      <c r="E58" s="30">
        <f t="shared" si="1"/>
        <v>800</v>
      </c>
      <c r="F58" s="42">
        <f t="shared" si="2"/>
        <v>4</v>
      </c>
      <c r="G58" s="40" t="b">
        <v>0</v>
      </c>
      <c r="H58" s="41"/>
      <c r="I58" s="41"/>
      <c r="J58" s="41">
        <f t="shared" si="3"/>
        <v>4</v>
      </c>
    </row>
    <row r="59">
      <c r="A59" s="41" t="s">
        <v>90</v>
      </c>
      <c r="B59" s="40">
        <v>200.0</v>
      </c>
      <c r="C59" s="40">
        <v>100.0</v>
      </c>
      <c r="D59" s="40">
        <v>500.0</v>
      </c>
      <c r="E59" s="30">
        <f t="shared" si="1"/>
        <v>800</v>
      </c>
      <c r="F59" s="42">
        <f t="shared" si="2"/>
        <v>4</v>
      </c>
      <c r="G59" s="40" t="b">
        <v>0</v>
      </c>
      <c r="H59" s="41"/>
      <c r="I59" s="41"/>
      <c r="J59" s="41">
        <f t="shared" si="3"/>
        <v>4</v>
      </c>
    </row>
    <row r="60">
      <c r="A60" s="41" t="s">
        <v>91</v>
      </c>
      <c r="B60" s="40">
        <v>200.0</v>
      </c>
      <c r="C60" s="40">
        <v>100.0</v>
      </c>
      <c r="D60" s="40">
        <v>500.0</v>
      </c>
      <c r="E60" s="30">
        <f t="shared" si="1"/>
        <v>800</v>
      </c>
      <c r="F60" s="42">
        <f t="shared" si="2"/>
        <v>4</v>
      </c>
      <c r="G60" s="40" t="b">
        <v>0</v>
      </c>
      <c r="H60" s="41"/>
      <c r="I60" s="41"/>
      <c r="J60" s="41">
        <f t="shared" si="3"/>
        <v>4</v>
      </c>
    </row>
    <row r="61">
      <c r="A61" s="41" t="s">
        <v>92</v>
      </c>
      <c r="B61" s="40">
        <v>200.0</v>
      </c>
      <c r="C61" s="40">
        <v>100.0</v>
      </c>
      <c r="D61" s="40">
        <v>500.0</v>
      </c>
      <c r="E61" s="30">
        <f t="shared" si="1"/>
        <v>800</v>
      </c>
      <c r="F61" s="42">
        <f t="shared" si="2"/>
        <v>4</v>
      </c>
      <c r="G61" s="40" t="b">
        <v>0</v>
      </c>
      <c r="H61" s="41"/>
      <c r="I61" s="41"/>
      <c r="J61" s="41">
        <f t="shared" si="3"/>
        <v>4</v>
      </c>
    </row>
    <row r="62">
      <c r="A62" s="41" t="s">
        <v>93</v>
      </c>
      <c r="B62" s="40">
        <v>200.0</v>
      </c>
      <c r="C62" s="40">
        <v>100.0</v>
      </c>
      <c r="D62" s="40">
        <v>500.0</v>
      </c>
      <c r="E62" s="30">
        <f t="shared" si="1"/>
        <v>800</v>
      </c>
      <c r="F62" s="42">
        <f t="shared" si="2"/>
        <v>4</v>
      </c>
      <c r="G62" s="40" t="b">
        <v>0</v>
      </c>
      <c r="H62" s="41"/>
      <c r="I62" s="41"/>
      <c r="J62" s="41">
        <f t="shared" si="3"/>
        <v>4</v>
      </c>
    </row>
    <row r="63">
      <c r="A63" s="41" t="s">
        <v>94</v>
      </c>
      <c r="B63" s="40">
        <v>200.0</v>
      </c>
      <c r="C63" s="40">
        <v>100.0</v>
      </c>
      <c r="D63" s="40">
        <v>500.0</v>
      </c>
      <c r="E63" s="30">
        <f t="shared" si="1"/>
        <v>800</v>
      </c>
      <c r="F63" s="42">
        <f t="shared" si="2"/>
        <v>4</v>
      </c>
      <c r="G63" s="40" t="b">
        <v>0</v>
      </c>
      <c r="H63" s="41"/>
      <c r="I63" s="41"/>
      <c r="J63" s="41">
        <f t="shared" si="3"/>
        <v>4</v>
      </c>
    </row>
    <row r="64">
      <c r="A64" s="41" t="s">
        <v>95</v>
      </c>
      <c r="B64" s="40">
        <v>200.0</v>
      </c>
      <c r="C64" s="40">
        <v>100.0</v>
      </c>
      <c r="D64" s="40">
        <v>500.0</v>
      </c>
      <c r="E64" s="30">
        <f t="shared" si="1"/>
        <v>800</v>
      </c>
      <c r="F64" s="42">
        <f t="shared" si="2"/>
        <v>4</v>
      </c>
      <c r="G64" s="40" t="b">
        <v>0</v>
      </c>
      <c r="H64" s="41"/>
      <c r="I64" s="41"/>
      <c r="J64" s="41">
        <f t="shared" si="3"/>
        <v>4</v>
      </c>
    </row>
    <row r="65">
      <c r="A65" s="41" t="s">
        <v>96</v>
      </c>
      <c r="B65" s="40">
        <v>200.0</v>
      </c>
      <c r="C65" s="40">
        <v>100.0</v>
      </c>
      <c r="D65" s="40">
        <v>500.0</v>
      </c>
      <c r="E65" s="30">
        <f t="shared" si="1"/>
        <v>800</v>
      </c>
      <c r="F65" s="42">
        <f t="shared" si="2"/>
        <v>4</v>
      </c>
      <c r="G65" s="40" t="b">
        <v>0</v>
      </c>
      <c r="H65" s="41"/>
      <c r="I65" s="41"/>
      <c r="J65" s="41">
        <f t="shared" si="3"/>
        <v>4</v>
      </c>
    </row>
    <row r="66">
      <c r="A66" s="41" t="s">
        <v>97</v>
      </c>
      <c r="B66" s="40">
        <v>200.0</v>
      </c>
      <c r="C66" s="40">
        <v>100.0</v>
      </c>
      <c r="D66" s="40">
        <v>500.0</v>
      </c>
      <c r="E66" s="30">
        <f t="shared" si="1"/>
        <v>800</v>
      </c>
      <c r="F66" s="42">
        <f t="shared" si="2"/>
        <v>4</v>
      </c>
      <c r="G66" s="40" t="b">
        <v>0</v>
      </c>
      <c r="H66" s="41"/>
      <c r="I66" s="41"/>
      <c r="J66" s="41">
        <f t="shared" si="3"/>
        <v>4</v>
      </c>
    </row>
    <row r="67">
      <c r="A67" s="41" t="s">
        <v>98</v>
      </c>
      <c r="B67" s="40">
        <v>200.0</v>
      </c>
      <c r="C67" s="40">
        <v>100.0</v>
      </c>
      <c r="D67" s="40">
        <v>500.0</v>
      </c>
      <c r="E67" s="30">
        <f t="shared" si="1"/>
        <v>800</v>
      </c>
      <c r="F67" s="42">
        <f t="shared" si="2"/>
        <v>4</v>
      </c>
      <c r="G67" s="40" t="b">
        <v>0</v>
      </c>
      <c r="H67" s="41"/>
      <c r="I67" s="41"/>
      <c r="J67" s="41">
        <f t="shared" si="3"/>
        <v>4</v>
      </c>
    </row>
    <row r="68">
      <c r="A68" s="41" t="s">
        <v>99</v>
      </c>
      <c r="B68" s="40">
        <v>200.0</v>
      </c>
      <c r="C68" s="40">
        <v>100.0</v>
      </c>
      <c r="D68" s="40">
        <v>500.0</v>
      </c>
      <c r="E68" s="30">
        <f t="shared" si="1"/>
        <v>800</v>
      </c>
      <c r="F68" s="42">
        <f t="shared" si="2"/>
        <v>4</v>
      </c>
      <c r="G68" s="40" t="b">
        <v>0</v>
      </c>
      <c r="H68" s="41"/>
      <c r="I68" s="41"/>
      <c r="J68" s="41">
        <f t="shared" si="3"/>
        <v>4</v>
      </c>
    </row>
    <row r="69">
      <c r="A69" s="41" t="s">
        <v>100</v>
      </c>
      <c r="B69" s="40">
        <v>200.0</v>
      </c>
      <c r="C69" s="40">
        <v>100.0</v>
      </c>
      <c r="D69" s="40">
        <v>500.0</v>
      </c>
      <c r="E69" s="30">
        <f t="shared" si="1"/>
        <v>800</v>
      </c>
      <c r="F69" s="42">
        <f t="shared" si="2"/>
        <v>4</v>
      </c>
      <c r="G69" s="40" t="b">
        <v>0</v>
      </c>
      <c r="H69" s="41"/>
      <c r="I69" s="41"/>
      <c r="J69" s="41">
        <f t="shared" si="3"/>
        <v>4</v>
      </c>
    </row>
    <row r="70">
      <c r="A70" s="41" t="s">
        <v>101</v>
      </c>
      <c r="B70" s="40">
        <v>200.0</v>
      </c>
      <c r="C70" s="40">
        <v>100.0</v>
      </c>
      <c r="D70" s="40">
        <v>500.0</v>
      </c>
      <c r="E70" s="30">
        <f t="shared" si="1"/>
        <v>800</v>
      </c>
      <c r="F70" s="42">
        <f t="shared" si="2"/>
        <v>4</v>
      </c>
      <c r="G70" s="40" t="b">
        <v>0</v>
      </c>
      <c r="H70" s="41"/>
      <c r="I70" s="41"/>
      <c r="J70" s="41">
        <f t="shared" si="3"/>
        <v>4</v>
      </c>
    </row>
    <row r="71">
      <c r="A71" s="41" t="s">
        <v>102</v>
      </c>
      <c r="B71" s="40">
        <v>200.0</v>
      </c>
      <c r="C71" s="40">
        <v>100.0</v>
      </c>
      <c r="D71" s="40">
        <v>500.0</v>
      </c>
      <c r="E71" s="30">
        <f t="shared" si="1"/>
        <v>800</v>
      </c>
      <c r="F71" s="42">
        <f t="shared" si="2"/>
        <v>4</v>
      </c>
      <c r="G71" s="40" t="b">
        <v>0</v>
      </c>
      <c r="H71" s="41"/>
      <c r="I71" s="41"/>
      <c r="J71" s="41">
        <f t="shared" si="3"/>
        <v>4</v>
      </c>
    </row>
    <row r="72">
      <c r="A72" s="41" t="s">
        <v>103</v>
      </c>
      <c r="B72" s="40">
        <v>200.0</v>
      </c>
      <c r="C72" s="40">
        <v>100.0</v>
      </c>
      <c r="D72" s="40">
        <v>500.0</v>
      </c>
      <c r="E72" s="30">
        <f t="shared" si="1"/>
        <v>800</v>
      </c>
      <c r="F72" s="42">
        <f t="shared" si="2"/>
        <v>4</v>
      </c>
      <c r="G72" s="40" t="b">
        <v>0</v>
      </c>
      <c r="H72" s="41"/>
      <c r="I72" s="41"/>
      <c r="J72" s="41">
        <f t="shared" si="3"/>
        <v>4</v>
      </c>
    </row>
    <row r="73">
      <c r="A73" s="41" t="s">
        <v>104</v>
      </c>
      <c r="B73" s="40">
        <v>200.0</v>
      </c>
      <c r="C73" s="40">
        <v>100.0</v>
      </c>
      <c r="D73" s="40">
        <v>500.0</v>
      </c>
      <c r="E73" s="30">
        <f t="shared" si="1"/>
        <v>800</v>
      </c>
      <c r="F73" s="42">
        <f t="shared" si="2"/>
        <v>4</v>
      </c>
      <c r="G73" s="40" t="b">
        <v>0</v>
      </c>
      <c r="H73" s="41"/>
      <c r="I73" s="41"/>
      <c r="J73" s="41">
        <f t="shared" si="3"/>
        <v>4</v>
      </c>
    </row>
    <row r="74">
      <c r="A74" s="41" t="s">
        <v>105</v>
      </c>
      <c r="B74" s="40">
        <v>200.0</v>
      </c>
      <c r="C74" s="40">
        <v>100.0</v>
      </c>
      <c r="D74" s="40">
        <v>500.0</v>
      </c>
      <c r="E74" s="30">
        <f t="shared" si="1"/>
        <v>800</v>
      </c>
      <c r="F74" s="42">
        <f t="shared" si="2"/>
        <v>4</v>
      </c>
      <c r="G74" s="40" t="b">
        <v>0</v>
      </c>
      <c r="H74" s="41"/>
      <c r="I74" s="41"/>
      <c r="J74" s="41">
        <f t="shared" si="3"/>
        <v>4</v>
      </c>
    </row>
    <row r="75">
      <c r="A75" s="41" t="s">
        <v>106</v>
      </c>
      <c r="B75" s="40">
        <v>200.0</v>
      </c>
      <c r="C75" s="40">
        <v>100.0</v>
      </c>
      <c r="D75" s="40">
        <v>500.0</v>
      </c>
      <c r="E75" s="30">
        <f t="shared" si="1"/>
        <v>800</v>
      </c>
      <c r="F75" s="42">
        <f t="shared" si="2"/>
        <v>4</v>
      </c>
      <c r="G75" s="40" t="b">
        <v>0</v>
      </c>
      <c r="H75" s="41"/>
      <c r="I75" s="41"/>
      <c r="J75" s="41">
        <f t="shared" si="3"/>
        <v>4</v>
      </c>
    </row>
    <row r="76">
      <c r="A76" s="41" t="s">
        <v>107</v>
      </c>
      <c r="B76" s="40">
        <v>200.0</v>
      </c>
      <c r="C76" s="40">
        <v>100.0</v>
      </c>
      <c r="D76" s="40">
        <v>500.0</v>
      </c>
      <c r="E76" s="30">
        <f t="shared" si="1"/>
        <v>800</v>
      </c>
      <c r="F76" s="42">
        <f t="shared" si="2"/>
        <v>4</v>
      </c>
      <c r="G76" s="40" t="b">
        <v>0</v>
      </c>
      <c r="H76" s="41"/>
      <c r="I76" s="41"/>
      <c r="J76" s="41">
        <f t="shared" si="3"/>
        <v>4</v>
      </c>
    </row>
    <row r="77">
      <c r="A77" s="41" t="s">
        <v>108</v>
      </c>
      <c r="B77" s="40">
        <v>200.0</v>
      </c>
      <c r="C77" s="40">
        <v>100.0</v>
      </c>
      <c r="D77" s="40">
        <v>500.0</v>
      </c>
      <c r="E77" s="30">
        <f t="shared" si="1"/>
        <v>800</v>
      </c>
      <c r="F77" s="42">
        <f t="shared" si="2"/>
        <v>4</v>
      </c>
      <c r="G77" s="40" t="b">
        <v>0</v>
      </c>
      <c r="H77" s="41"/>
      <c r="I77" s="41"/>
      <c r="J77" s="41">
        <f t="shared" si="3"/>
        <v>4</v>
      </c>
    </row>
    <row r="78">
      <c r="A78" s="41" t="s">
        <v>109</v>
      </c>
      <c r="B78" s="40">
        <v>200.0</v>
      </c>
      <c r="C78" s="40">
        <v>100.0</v>
      </c>
      <c r="D78" s="40">
        <v>500.0</v>
      </c>
      <c r="E78" s="30">
        <f t="shared" si="1"/>
        <v>800</v>
      </c>
      <c r="F78" s="42">
        <f t="shared" si="2"/>
        <v>4</v>
      </c>
      <c r="G78" s="40" t="b">
        <v>0</v>
      </c>
      <c r="H78" s="41"/>
      <c r="I78" s="41"/>
      <c r="J78" s="41">
        <f t="shared" si="3"/>
        <v>4</v>
      </c>
    </row>
    <row r="79">
      <c r="A79" s="41" t="s">
        <v>110</v>
      </c>
      <c r="B79" s="40">
        <v>200.0</v>
      </c>
      <c r="C79" s="40">
        <v>100.0</v>
      </c>
      <c r="D79" s="40">
        <v>500.0</v>
      </c>
      <c r="E79" s="30">
        <f t="shared" si="1"/>
        <v>800</v>
      </c>
      <c r="F79" s="42">
        <f t="shared" si="2"/>
        <v>4</v>
      </c>
      <c r="G79" s="40" t="b">
        <v>0</v>
      </c>
      <c r="H79" s="41"/>
      <c r="I79" s="41"/>
      <c r="J79" s="41">
        <f t="shared" si="3"/>
        <v>4</v>
      </c>
    </row>
    <row r="80">
      <c r="A80" s="41" t="s">
        <v>111</v>
      </c>
      <c r="B80" s="40">
        <v>200.0</v>
      </c>
      <c r="C80" s="40">
        <v>100.0</v>
      </c>
      <c r="D80" s="40">
        <v>500.0</v>
      </c>
      <c r="E80" s="30">
        <f t="shared" si="1"/>
        <v>800</v>
      </c>
      <c r="F80" s="42">
        <f t="shared" si="2"/>
        <v>4</v>
      </c>
      <c r="G80" s="40" t="b">
        <v>0</v>
      </c>
      <c r="H80" s="41"/>
      <c r="I80" s="41"/>
      <c r="J80" s="41">
        <f t="shared" si="3"/>
        <v>4</v>
      </c>
    </row>
    <row r="81">
      <c r="A81" s="41" t="s">
        <v>112</v>
      </c>
      <c r="B81" s="40">
        <v>200.0</v>
      </c>
      <c r="C81" s="40">
        <v>100.0</v>
      </c>
      <c r="D81" s="40">
        <v>500.0</v>
      </c>
      <c r="E81" s="30">
        <f t="shared" si="1"/>
        <v>800</v>
      </c>
      <c r="F81" s="42">
        <f t="shared" si="2"/>
        <v>4</v>
      </c>
      <c r="G81" s="40" t="b">
        <v>0</v>
      </c>
      <c r="H81" s="41"/>
      <c r="I81" s="41"/>
      <c r="J81" s="41">
        <f t="shared" si="3"/>
        <v>4</v>
      </c>
    </row>
    <row r="82">
      <c r="A82" s="41" t="s">
        <v>113</v>
      </c>
      <c r="B82" s="40">
        <v>200.0</v>
      </c>
      <c r="C82" s="40">
        <v>100.0</v>
      </c>
      <c r="D82" s="40">
        <v>500.0</v>
      </c>
      <c r="E82" s="30">
        <f t="shared" si="1"/>
        <v>800</v>
      </c>
      <c r="F82" s="42">
        <f t="shared" si="2"/>
        <v>4</v>
      </c>
      <c r="G82" s="40" t="b">
        <v>0</v>
      </c>
      <c r="H82" s="41"/>
      <c r="I82" s="41"/>
      <c r="J82" s="41">
        <f t="shared" si="3"/>
        <v>4</v>
      </c>
    </row>
    <row r="83">
      <c r="A83" s="41" t="s">
        <v>114</v>
      </c>
      <c r="B83" s="40">
        <v>200.0</v>
      </c>
      <c r="C83" s="40">
        <v>100.0</v>
      </c>
      <c r="D83" s="40">
        <v>500.0</v>
      </c>
      <c r="E83" s="30">
        <f t="shared" si="1"/>
        <v>800</v>
      </c>
      <c r="F83" s="42">
        <f t="shared" si="2"/>
        <v>4</v>
      </c>
      <c r="G83" s="40" t="b">
        <v>0</v>
      </c>
      <c r="H83" s="41"/>
      <c r="I83" s="41"/>
      <c r="J83" s="41">
        <f t="shared" si="3"/>
        <v>4</v>
      </c>
    </row>
    <row r="84">
      <c r="A84" s="41" t="s">
        <v>115</v>
      </c>
      <c r="B84" s="40">
        <v>200.0</v>
      </c>
      <c r="C84" s="40">
        <v>100.0</v>
      </c>
      <c r="D84" s="40">
        <v>500.0</v>
      </c>
      <c r="E84" s="30">
        <f t="shared" si="1"/>
        <v>800</v>
      </c>
      <c r="F84" s="42">
        <f t="shared" si="2"/>
        <v>4</v>
      </c>
      <c r="G84" s="40" t="b">
        <v>0</v>
      </c>
      <c r="H84" s="41"/>
      <c r="I84" s="41"/>
      <c r="J84" s="41">
        <f t="shared" si="3"/>
        <v>4</v>
      </c>
    </row>
    <row r="85">
      <c r="A85" s="41" t="s">
        <v>116</v>
      </c>
      <c r="B85" s="40">
        <v>200.0</v>
      </c>
      <c r="C85" s="40">
        <v>100.0</v>
      </c>
      <c r="D85" s="40">
        <v>500.0</v>
      </c>
      <c r="E85" s="30">
        <f t="shared" si="1"/>
        <v>800</v>
      </c>
      <c r="F85" s="42">
        <f t="shared" si="2"/>
        <v>4</v>
      </c>
      <c r="G85" s="40" t="b">
        <v>0</v>
      </c>
      <c r="H85" s="41"/>
      <c r="I85" s="41"/>
      <c r="J85" s="41">
        <f t="shared" si="3"/>
        <v>4</v>
      </c>
    </row>
    <row r="86">
      <c r="A86" s="41" t="s">
        <v>117</v>
      </c>
      <c r="B86" s="40">
        <v>200.0</v>
      </c>
      <c r="C86" s="40">
        <v>100.0</v>
      </c>
      <c r="D86" s="40">
        <v>500.0</v>
      </c>
      <c r="E86" s="30">
        <f t="shared" si="1"/>
        <v>800</v>
      </c>
      <c r="F86" s="42">
        <f t="shared" si="2"/>
        <v>4</v>
      </c>
      <c r="G86" s="40" t="b">
        <v>0</v>
      </c>
      <c r="H86" s="41"/>
      <c r="I86" s="41"/>
      <c r="J86" s="41">
        <f t="shared" si="3"/>
        <v>4</v>
      </c>
    </row>
    <row r="87">
      <c r="A87" s="41" t="s">
        <v>118</v>
      </c>
      <c r="B87" s="40">
        <v>200.0</v>
      </c>
      <c r="C87" s="40">
        <v>100.0</v>
      </c>
      <c r="D87" s="40">
        <v>500.0</v>
      </c>
      <c r="E87" s="30">
        <f t="shared" si="1"/>
        <v>800</v>
      </c>
      <c r="F87" s="42">
        <f t="shared" si="2"/>
        <v>4</v>
      </c>
      <c r="G87" s="40" t="b">
        <v>0</v>
      </c>
      <c r="H87" s="41"/>
      <c r="I87" s="41"/>
      <c r="J87" s="41">
        <f t="shared" si="3"/>
        <v>4</v>
      </c>
    </row>
    <row r="88">
      <c r="A88" s="41" t="s">
        <v>119</v>
      </c>
      <c r="B88" s="40">
        <v>200.0</v>
      </c>
      <c r="C88" s="40">
        <v>100.0</v>
      </c>
      <c r="D88" s="40">
        <v>500.0</v>
      </c>
      <c r="E88" s="30">
        <f t="shared" si="1"/>
        <v>800</v>
      </c>
      <c r="F88" s="42">
        <f t="shared" si="2"/>
        <v>4</v>
      </c>
      <c r="G88" s="40" t="b">
        <v>0</v>
      </c>
      <c r="H88" s="41"/>
      <c r="I88" s="41"/>
      <c r="J88" s="41">
        <f t="shared" si="3"/>
        <v>4</v>
      </c>
    </row>
    <row r="89">
      <c r="A89" s="41" t="s">
        <v>120</v>
      </c>
      <c r="B89" s="40">
        <v>200.0</v>
      </c>
      <c r="C89" s="40">
        <v>100.0</v>
      </c>
      <c r="D89" s="40">
        <v>500.0</v>
      </c>
      <c r="E89" s="30">
        <f t="shared" si="1"/>
        <v>800</v>
      </c>
      <c r="F89" s="42">
        <f t="shared" si="2"/>
        <v>4</v>
      </c>
      <c r="G89" s="40" t="b">
        <v>0</v>
      </c>
      <c r="H89" s="41"/>
      <c r="I89" s="41"/>
      <c r="J89" s="41">
        <f t="shared" si="3"/>
        <v>4</v>
      </c>
    </row>
    <row r="90">
      <c r="A90" s="41" t="s">
        <v>121</v>
      </c>
      <c r="B90" s="40">
        <v>200.0</v>
      </c>
      <c r="C90" s="40">
        <v>100.0</v>
      </c>
      <c r="D90" s="40">
        <v>500.0</v>
      </c>
      <c r="E90" s="30">
        <f t="shared" si="1"/>
        <v>800</v>
      </c>
      <c r="F90" s="42">
        <f t="shared" si="2"/>
        <v>4</v>
      </c>
      <c r="G90" s="40" t="b">
        <v>0</v>
      </c>
      <c r="H90" s="41"/>
      <c r="I90" s="41"/>
      <c r="J90" s="41">
        <f t="shared" si="3"/>
        <v>4</v>
      </c>
    </row>
    <row r="91">
      <c r="A91" s="41" t="s">
        <v>122</v>
      </c>
      <c r="B91" s="40">
        <v>200.0</v>
      </c>
      <c r="C91" s="40">
        <v>100.0</v>
      </c>
      <c r="D91" s="40">
        <v>500.0</v>
      </c>
      <c r="E91" s="30">
        <f t="shared" si="1"/>
        <v>800</v>
      </c>
      <c r="F91" s="42">
        <f t="shared" si="2"/>
        <v>4</v>
      </c>
      <c r="G91" s="40" t="b">
        <v>0</v>
      </c>
      <c r="H91" s="41"/>
      <c r="I91" s="41"/>
      <c r="J91" s="41">
        <f t="shared" si="3"/>
        <v>4</v>
      </c>
    </row>
    <row r="92">
      <c r="A92" s="41" t="s">
        <v>123</v>
      </c>
      <c r="B92" s="40">
        <v>200.0</v>
      </c>
      <c r="C92" s="40">
        <v>100.0</v>
      </c>
      <c r="D92" s="40">
        <v>500.0</v>
      </c>
      <c r="E92" s="30">
        <f t="shared" si="1"/>
        <v>800</v>
      </c>
      <c r="F92" s="42">
        <f t="shared" si="2"/>
        <v>4</v>
      </c>
      <c r="G92" s="40" t="b">
        <v>0</v>
      </c>
      <c r="H92" s="41"/>
      <c r="I92" s="41"/>
      <c r="J92" s="41">
        <f t="shared" si="3"/>
        <v>4</v>
      </c>
    </row>
    <row r="93">
      <c r="A93" s="41" t="s">
        <v>124</v>
      </c>
      <c r="B93" s="40">
        <v>200.0</v>
      </c>
      <c r="C93" s="40">
        <v>100.0</v>
      </c>
      <c r="D93" s="40">
        <v>500.0</v>
      </c>
      <c r="E93" s="30">
        <f t="shared" si="1"/>
        <v>800</v>
      </c>
      <c r="F93" s="42">
        <f t="shared" si="2"/>
        <v>4</v>
      </c>
      <c r="G93" s="40" t="b">
        <v>0</v>
      </c>
      <c r="H93" s="41"/>
      <c r="I93" s="41"/>
      <c r="J93" s="41">
        <f t="shared" si="3"/>
        <v>4</v>
      </c>
    </row>
    <row r="94">
      <c r="A94" s="41" t="s">
        <v>125</v>
      </c>
      <c r="B94" s="40">
        <v>200.0</v>
      </c>
      <c r="C94" s="40">
        <v>100.0</v>
      </c>
      <c r="D94" s="40">
        <v>500.0</v>
      </c>
      <c r="E94" s="30">
        <f t="shared" si="1"/>
        <v>800</v>
      </c>
      <c r="F94" s="42">
        <f t="shared" si="2"/>
        <v>4</v>
      </c>
      <c r="G94" s="40" t="b">
        <v>0</v>
      </c>
      <c r="H94" s="41"/>
      <c r="I94" s="41"/>
      <c r="J94" s="41">
        <f t="shared" si="3"/>
        <v>4</v>
      </c>
    </row>
    <row r="95">
      <c r="A95" s="41" t="s">
        <v>126</v>
      </c>
      <c r="B95" s="40">
        <v>200.0</v>
      </c>
      <c r="C95" s="40">
        <v>100.0</v>
      </c>
      <c r="D95" s="40">
        <v>500.0</v>
      </c>
      <c r="E95" s="30">
        <f t="shared" si="1"/>
        <v>800</v>
      </c>
      <c r="F95" s="42">
        <f t="shared" si="2"/>
        <v>4</v>
      </c>
      <c r="G95" s="40" t="b">
        <v>0</v>
      </c>
      <c r="H95" s="41"/>
      <c r="I95" s="41"/>
      <c r="J95" s="41">
        <f t="shared" si="3"/>
        <v>4</v>
      </c>
    </row>
    <row r="96">
      <c r="A96" s="41" t="s">
        <v>127</v>
      </c>
      <c r="B96" s="40">
        <v>200.0</v>
      </c>
      <c r="C96" s="40">
        <v>100.0</v>
      </c>
      <c r="D96" s="40">
        <v>500.0</v>
      </c>
      <c r="E96" s="30">
        <f t="shared" si="1"/>
        <v>800</v>
      </c>
      <c r="F96" s="42">
        <f t="shared" si="2"/>
        <v>4</v>
      </c>
      <c r="G96" s="40" t="b">
        <v>0</v>
      </c>
      <c r="H96" s="41"/>
      <c r="I96" s="41"/>
      <c r="J96" s="41">
        <f t="shared" si="3"/>
        <v>4</v>
      </c>
    </row>
    <row r="97">
      <c r="A97" s="41" t="s">
        <v>128</v>
      </c>
      <c r="B97" s="40">
        <v>200.0</v>
      </c>
      <c r="C97" s="40">
        <v>100.0</v>
      </c>
      <c r="D97" s="40">
        <v>500.0</v>
      </c>
      <c r="E97" s="30">
        <f t="shared" si="1"/>
        <v>800</v>
      </c>
      <c r="F97" s="42">
        <f t="shared" si="2"/>
        <v>4</v>
      </c>
      <c r="G97" s="40" t="b">
        <v>0</v>
      </c>
      <c r="H97" s="41"/>
      <c r="I97" s="41"/>
      <c r="J97" s="41">
        <f t="shared" si="3"/>
        <v>4</v>
      </c>
    </row>
    <row r="98">
      <c r="A98" s="41" t="s">
        <v>129</v>
      </c>
      <c r="B98" s="40">
        <v>200.0</v>
      </c>
      <c r="C98" s="40">
        <v>100.0</v>
      </c>
      <c r="D98" s="40">
        <v>500.0</v>
      </c>
      <c r="E98" s="30">
        <f t="shared" si="1"/>
        <v>800</v>
      </c>
      <c r="F98" s="42">
        <f t="shared" si="2"/>
        <v>4</v>
      </c>
      <c r="G98" s="40" t="b">
        <v>0</v>
      </c>
      <c r="H98" s="41"/>
      <c r="I98" s="41"/>
      <c r="J98" s="41">
        <f t="shared" si="3"/>
        <v>4</v>
      </c>
    </row>
    <row r="99">
      <c r="A99" s="41" t="s">
        <v>130</v>
      </c>
      <c r="B99" s="40">
        <v>200.0</v>
      </c>
      <c r="C99" s="40">
        <v>100.0</v>
      </c>
      <c r="D99" s="40">
        <v>500.0</v>
      </c>
      <c r="E99" s="30">
        <f t="shared" si="1"/>
        <v>800</v>
      </c>
      <c r="F99" s="42">
        <f t="shared" si="2"/>
        <v>4</v>
      </c>
      <c r="G99" s="40" t="b">
        <v>0</v>
      </c>
      <c r="H99" s="41"/>
      <c r="I99" s="41"/>
      <c r="J99" s="41">
        <f t="shared" si="3"/>
        <v>4</v>
      </c>
    </row>
    <row r="100">
      <c r="A100" s="41" t="s">
        <v>131</v>
      </c>
      <c r="B100" s="40">
        <v>200.0</v>
      </c>
      <c r="C100" s="40">
        <v>100.0</v>
      </c>
      <c r="D100" s="40">
        <v>500.0</v>
      </c>
      <c r="E100" s="30">
        <f t="shared" si="1"/>
        <v>800</v>
      </c>
      <c r="F100" s="42">
        <f t="shared" si="2"/>
        <v>4</v>
      </c>
      <c r="G100" s="40" t="b">
        <v>0</v>
      </c>
      <c r="H100" s="41"/>
      <c r="I100" s="41"/>
      <c r="J100" s="41">
        <f t="shared" si="3"/>
        <v>4</v>
      </c>
    </row>
    <row r="101">
      <c r="A101" s="41" t="s">
        <v>132</v>
      </c>
      <c r="B101" s="40">
        <v>200.0</v>
      </c>
      <c r="C101" s="40">
        <v>100.0</v>
      </c>
      <c r="D101" s="40">
        <v>500.0</v>
      </c>
      <c r="E101" s="30">
        <f t="shared" si="1"/>
        <v>800</v>
      </c>
      <c r="F101" s="42">
        <f t="shared" si="2"/>
        <v>4</v>
      </c>
      <c r="G101" s="40" t="b">
        <v>0</v>
      </c>
      <c r="H101" s="41"/>
      <c r="I101" s="41"/>
      <c r="J101" s="41">
        <f t="shared" si="3"/>
        <v>4</v>
      </c>
    </row>
    <row r="102">
      <c r="A102" s="41" t="s">
        <v>133</v>
      </c>
      <c r="B102" s="40">
        <v>200.0</v>
      </c>
      <c r="C102" s="40">
        <v>100.0</v>
      </c>
      <c r="D102" s="40">
        <v>500.0</v>
      </c>
      <c r="E102" s="30">
        <f t="shared" si="1"/>
        <v>800</v>
      </c>
      <c r="F102" s="42">
        <f t="shared" si="2"/>
        <v>4</v>
      </c>
      <c r="G102" s="40" t="b">
        <v>0</v>
      </c>
      <c r="H102" s="41"/>
      <c r="I102" s="41"/>
      <c r="J102" s="41">
        <f t="shared" si="3"/>
        <v>4</v>
      </c>
    </row>
    <row r="103">
      <c r="A103" s="41" t="s">
        <v>134</v>
      </c>
      <c r="B103" s="40">
        <v>200.0</v>
      </c>
      <c r="C103" s="40">
        <v>100.0</v>
      </c>
      <c r="D103" s="40">
        <v>500.0</v>
      </c>
      <c r="E103" s="30">
        <f t="shared" si="1"/>
        <v>800</v>
      </c>
      <c r="F103" s="42">
        <f t="shared" si="2"/>
        <v>4</v>
      </c>
      <c r="G103" s="40" t="b">
        <v>0</v>
      </c>
      <c r="H103" s="41"/>
      <c r="I103" s="41"/>
      <c r="J103" s="41">
        <f t="shared" si="3"/>
        <v>4</v>
      </c>
    </row>
    <row r="104">
      <c r="A104" s="41" t="s">
        <v>135</v>
      </c>
      <c r="B104" s="40">
        <v>200.0</v>
      </c>
      <c r="C104" s="40">
        <v>100.0</v>
      </c>
      <c r="D104" s="40">
        <v>500.0</v>
      </c>
      <c r="E104" s="30">
        <f t="shared" si="1"/>
        <v>800</v>
      </c>
      <c r="F104" s="42">
        <f t="shared" si="2"/>
        <v>4</v>
      </c>
      <c r="G104" s="40" t="b">
        <v>0</v>
      </c>
      <c r="H104" s="41"/>
      <c r="I104" s="41"/>
      <c r="J104" s="41">
        <f t="shared" si="3"/>
        <v>4</v>
      </c>
    </row>
    <row r="105">
      <c r="A105" s="41" t="s">
        <v>136</v>
      </c>
      <c r="B105" s="40">
        <v>200.0</v>
      </c>
      <c r="C105" s="40">
        <v>100.0</v>
      </c>
      <c r="D105" s="40">
        <v>500.0</v>
      </c>
      <c r="E105" s="30">
        <f t="shared" si="1"/>
        <v>800</v>
      </c>
      <c r="F105" s="42">
        <f t="shared" si="2"/>
        <v>4</v>
      </c>
      <c r="G105" s="40" t="b">
        <v>0</v>
      </c>
      <c r="H105" s="41"/>
      <c r="I105" s="41"/>
      <c r="J105" s="41">
        <f t="shared" si="3"/>
        <v>4</v>
      </c>
    </row>
    <row r="106">
      <c r="A106" s="41" t="s">
        <v>137</v>
      </c>
      <c r="B106" s="40">
        <v>200.0</v>
      </c>
      <c r="C106" s="40">
        <v>100.0</v>
      </c>
      <c r="D106" s="40">
        <v>500.0</v>
      </c>
      <c r="E106" s="30">
        <f t="shared" si="1"/>
        <v>800</v>
      </c>
      <c r="F106" s="42">
        <f t="shared" si="2"/>
        <v>4</v>
      </c>
      <c r="G106" s="40" t="b">
        <v>0</v>
      </c>
      <c r="H106" s="41"/>
      <c r="I106" s="41"/>
      <c r="J106" s="41">
        <f t="shared" si="3"/>
        <v>4</v>
      </c>
    </row>
    <row r="107">
      <c r="A107" s="41" t="s">
        <v>138</v>
      </c>
      <c r="B107" s="40">
        <v>200.0</v>
      </c>
      <c r="C107" s="40">
        <v>100.0</v>
      </c>
      <c r="D107" s="40">
        <v>500.0</v>
      </c>
      <c r="E107" s="30">
        <f t="shared" si="1"/>
        <v>800</v>
      </c>
      <c r="F107" s="42">
        <f t="shared" si="2"/>
        <v>4</v>
      </c>
      <c r="G107" s="40" t="b">
        <v>0</v>
      </c>
      <c r="H107" s="41"/>
      <c r="I107" s="41"/>
      <c r="J107" s="41">
        <f t="shared" si="3"/>
        <v>4</v>
      </c>
    </row>
    <row r="108">
      <c r="A108" s="41" t="s">
        <v>139</v>
      </c>
      <c r="B108" s="40">
        <v>200.0</v>
      </c>
      <c r="C108" s="40">
        <v>100.0</v>
      </c>
      <c r="D108" s="40">
        <v>500.0</v>
      </c>
      <c r="E108" s="30">
        <f t="shared" si="1"/>
        <v>800</v>
      </c>
      <c r="F108" s="42">
        <f t="shared" si="2"/>
        <v>4</v>
      </c>
      <c r="G108" s="40" t="b">
        <v>0</v>
      </c>
      <c r="H108" s="41"/>
      <c r="I108" s="41"/>
      <c r="J108" s="41">
        <f t="shared" si="3"/>
        <v>4</v>
      </c>
    </row>
    <row r="109">
      <c r="A109" s="41" t="s">
        <v>140</v>
      </c>
      <c r="B109" s="40">
        <v>200.0</v>
      </c>
      <c r="C109" s="40">
        <v>100.0</v>
      </c>
      <c r="D109" s="40">
        <v>500.0</v>
      </c>
      <c r="E109" s="30">
        <f t="shared" si="1"/>
        <v>800</v>
      </c>
      <c r="F109" s="42">
        <f t="shared" si="2"/>
        <v>4</v>
      </c>
      <c r="G109" s="40" t="b">
        <v>0</v>
      </c>
      <c r="H109" s="41"/>
      <c r="I109" s="41"/>
      <c r="J109" s="41">
        <f t="shared" si="3"/>
        <v>4</v>
      </c>
    </row>
    <row r="110">
      <c r="A110" s="41" t="s">
        <v>141</v>
      </c>
      <c r="B110" s="40">
        <v>200.0</v>
      </c>
      <c r="C110" s="40">
        <v>100.0</v>
      </c>
      <c r="D110" s="40">
        <v>500.0</v>
      </c>
      <c r="E110" s="30">
        <f t="shared" si="1"/>
        <v>800</v>
      </c>
      <c r="F110" s="42">
        <f t="shared" si="2"/>
        <v>4</v>
      </c>
      <c r="G110" s="40" t="b">
        <v>0</v>
      </c>
      <c r="H110" s="41"/>
      <c r="I110" s="41"/>
      <c r="J110" s="41">
        <f t="shared" si="3"/>
        <v>4</v>
      </c>
    </row>
    <row r="111">
      <c r="A111" s="41" t="s">
        <v>142</v>
      </c>
      <c r="B111" s="40">
        <v>200.0</v>
      </c>
      <c r="C111" s="40">
        <v>100.0</v>
      </c>
      <c r="D111" s="40">
        <v>500.0</v>
      </c>
      <c r="E111" s="30">
        <f t="shared" si="1"/>
        <v>800</v>
      </c>
      <c r="F111" s="42">
        <f t="shared" si="2"/>
        <v>4</v>
      </c>
      <c r="G111" s="40" t="b">
        <v>0</v>
      </c>
      <c r="H111" s="41"/>
      <c r="I111" s="41"/>
      <c r="J111" s="41">
        <f t="shared" si="3"/>
        <v>4</v>
      </c>
    </row>
    <row r="112">
      <c r="A112" s="41" t="s">
        <v>143</v>
      </c>
      <c r="B112" s="40">
        <v>200.0</v>
      </c>
      <c r="C112" s="40">
        <v>100.0</v>
      </c>
      <c r="D112" s="40">
        <v>500.0</v>
      </c>
      <c r="E112" s="30">
        <f t="shared" si="1"/>
        <v>800</v>
      </c>
      <c r="F112" s="42">
        <f t="shared" si="2"/>
        <v>4</v>
      </c>
      <c r="G112" s="40" t="b">
        <v>0</v>
      </c>
      <c r="H112" s="41"/>
      <c r="I112" s="41"/>
      <c r="J112" s="41">
        <f t="shared" si="3"/>
        <v>4</v>
      </c>
    </row>
    <row r="113">
      <c r="A113" s="41" t="s">
        <v>144</v>
      </c>
      <c r="B113" s="40">
        <v>200.0</v>
      </c>
      <c r="C113" s="40">
        <v>100.0</v>
      </c>
      <c r="D113" s="40">
        <v>500.0</v>
      </c>
      <c r="E113" s="30">
        <f t="shared" si="1"/>
        <v>800</v>
      </c>
      <c r="F113" s="42">
        <f t="shared" si="2"/>
        <v>4</v>
      </c>
      <c r="G113" s="40" t="b">
        <v>0</v>
      </c>
      <c r="H113" s="41"/>
      <c r="I113" s="41"/>
      <c r="J113" s="41">
        <f t="shared" si="3"/>
        <v>4</v>
      </c>
    </row>
    <row r="114">
      <c r="A114" s="41" t="s">
        <v>145</v>
      </c>
      <c r="B114" s="40">
        <v>200.0</v>
      </c>
      <c r="C114" s="40">
        <v>100.0</v>
      </c>
      <c r="D114" s="40">
        <v>500.0</v>
      </c>
      <c r="E114" s="30">
        <f t="shared" si="1"/>
        <v>800</v>
      </c>
      <c r="F114" s="42">
        <f t="shared" si="2"/>
        <v>4</v>
      </c>
      <c r="G114" s="40" t="b">
        <v>0</v>
      </c>
      <c r="H114" s="41"/>
      <c r="I114" s="41"/>
      <c r="J114" s="41">
        <f t="shared" si="3"/>
        <v>4</v>
      </c>
    </row>
    <row r="115">
      <c r="A115" s="41" t="s">
        <v>146</v>
      </c>
      <c r="B115" s="40">
        <v>200.0</v>
      </c>
      <c r="C115" s="40">
        <v>100.0</v>
      </c>
      <c r="D115" s="40">
        <v>500.0</v>
      </c>
      <c r="E115" s="30">
        <f t="shared" si="1"/>
        <v>800</v>
      </c>
      <c r="F115" s="42">
        <f t="shared" si="2"/>
        <v>4</v>
      </c>
      <c r="G115" s="40" t="b">
        <v>0</v>
      </c>
      <c r="H115" s="41"/>
      <c r="I115" s="41"/>
      <c r="J115" s="41">
        <f t="shared" si="3"/>
        <v>4</v>
      </c>
    </row>
    <row r="116">
      <c r="A116" s="41" t="s">
        <v>147</v>
      </c>
      <c r="B116" s="40">
        <v>200.0</v>
      </c>
      <c r="C116" s="40">
        <v>100.0</v>
      </c>
      <c r="D116" s="40">
        <v>500.0</v>
      </c>
      <c r="E116" s="30">
        <f t="shared" si="1"/>
        <v>800</v>
      </c>
      <c r="F116" s="42">
        <f t="shared" si="2"/>
        <v>4</v>
      </c>
      <c r="G116" s="40" t="b">
        <v>0</v>
      </c>
      <c r="H116" s="41"/>
      <c r="I116" s="41"/>
      <c r="J116" s="41">
        <f t="shared" si="3"/>
        <v>4</v>
      </c>
    </row>
    <row r="117">
      <c r="A117" s="41" t="s">
        <v>148</v>
      </c>
      <c r="B117" s="40">
        <v>200.0</v>
      </c>
      <c r="C117" s="40">
        <v>100.0</v>
      </c>
      <c r="D117" s="40">
        <v>500.0</v>
      </c>
      <c r="E117" s="30">
        <f t="shared" si="1"/>
        <v>800</v>
      </c>
      <c r="F117" s="42">
        <f t="shared" si="2"/>
        <v>4</v>
      </c>
      <c r="G117" s="40" t="b">
        <v>0</v>
      </c>
      <c r="H117" s="41"/>
      <c r="I117" s="41"/>
      <c r="J117" s="41">
        <f t="shared" si="3"/>
        <v>4</v>
      </c>
    </row>
    <row r="118">
      <c r="A118" s="41" t="s">
        <v>149</v>
      </c>
      <c r="B118" s="40">
        <v>200.0</v>
      </c>
      <c r="C118" s="40">
        <v>100.0</v>
      </c>
      <c r="D118" s="40">
        <v>500.0</v>
      </c>
      <c r="E118" s="30">
        <f t="shared" si="1"/>
        <v>800</v>
      </c>
      <c r="F118" s="42">
        <f t="shared" si="2"/>
        <v>4</v>
      </c>
      <c r="G118" s="40" t="b">
        <v>0</v>
      </c>
      <c r="H118" s="41"/>
      <c r="I118" s="41"/>
      <c r="J118" s="41">
        <f t="shared" si="3"/>
        <v>4</v>
      </c>
    </row>
    <row r="119">
      <c r="A119" s="41" t="s">
        <v>150</v>
      </c>
      <c r="B119" s="40">
        <v>200.0</v>
      </c>
      <c r="C119" s="40">
        <v>100.0</v>
      </c>
      <c r="D119" s="40">
        <v>500.0</v>
      </c>
      <c r="E119" s="30">
        <f t="shared" si="1"/>
        <v>800</v>
      </c>
      <c r="F119" s="42">
        <f t="shared" si="2"/>
        <v>4</v>
      </c>
      <c r="G119" s="40" t="b">
        <v>0</v>
      </c>
      <c r="H119" s="41"/>
      <c r="I119" s="41"/>
      <c r="J119" s="41">
        <f t="shared" si="3"/>
        <v>4</v>
      </c>
    </row>
    <row r="120">
      <c r="A120" s="41" t="s">
        <v>151</v>
      </c>
      <c r="B120" s="40">
        <v>200.0</v>
      </c>
      <c r="C120" s="40">
        <v>100.0</v>
      </c>
      <c r="D120" s="40">
        <v>500.0</v>
      </c>
      <c r="E120" s="30">
        <f t="shared" si="1"/>
        <v>800</v>
      </c>
      <c r="F120" s="42">
        <f t="shared" si="2"/>
        <v>4</v>
      </c>
      <c r="G120" s="40" t="b">
        <v>0</v>
      </c>
      <c r="H120" s="41"/>
      <c r="I120" s="41"/>
      <c r="J120" s="41">
        <f t="shared" si="3"/>
        <v>4</v>
      </c>
    </row>
    <row r="121">
      <c r="A121" s="41" t="s">
        <v>152</v>
      </c>
      <c r="B121" s="40">
        <v>200.0</v>
      </c>
      <c r="C121" s="40">
        <v>100.0</v>
      </c>
      <c r="D121" s="40">
        <v>500.0</v>
      </c>
      <c r="E121" s="30">
        <f t="shared" si="1"/>
        <v>800</v>
      </c>
      <c r="F121" s="42">
        <f t="shared" si="2"/>
        <v>4</v>
      </c>
      <c r="G121" s="40" t="b">
        <v>0</v>
      </c>
      <c r="H121" s="41"/>
      <c r="I121" s="41"/>
      <c r="J121" s="41">
        <f t="shared" si="3"/>
        <v>4</v>
      </c>
    </row>
    <row r="122">
      <c r="A122" s="41" t="s">
        <v>153</v>
      </c>
      <c r="B122" s="40">
        <v>200.0</v>
      </c>
      <c r="C122" s="40">
        <v>100.0</v>
      </c>
      <c r="D122" s="40">
        <v>500.0</v>
      </c>
      <c r="E122" s="30">
        <f t="shared" si="1"/>
        <v>800</v>
      </c>
      <c r="F122" s="42">
        <f t="shared" si="2"/>
        <v>4</v>
      </c>
      <c r="G122" s="40" t="b">
        <v>0</v>
      </c>
      <c r="H122" s="41"/>
      <c r="I122" s="41"/>
      <c r="J122" s="41">
        <f t="shared" si="3"/>
        <v>4</v>
      </c>
    </row>
    <row r="123">
      <c r="A123" s="41" t="s">
        <v>154</v>
      </c>
      <c r="B123" s="40">
        <v>200.0</v>
      </c>
      <c r="C123" s="40">
        <v>100.0</v>
      </c>
      <c r="D123" s="40">
        <v>500.0</v>
      </c>
      <c r="E123" s="30">
        <f t="shared" si="1"/>
        <v>800</v>
      </c>
      <c r="F123" s="42">
        <f t="shared" si="2"/>
        <v>4</v>
      </c>
      <c r="G123" s="40" t="b">
        <v>0</v>
      </c>
      <c r="H123" s="41"/>
      <c r="I123" s="41"/>
      <c r="J123" s="41">
        <f t="shared" si="3"/>
        <v>4</v>
      </c>
    </row>
    <row r="124">
      <c r="A124" s="41" t="s">
        <v>155</v>
      </c>
      <c r="B124" s="40">
        <v>200.0</v>
      </c>
      <c r="C124" s="40">
        <v>100.0</v>
      </c>
      <c r="D124" s="40">
        <v>500.0</v>
      </c>
      <c r="E124" s="30">
        <f t="shared" si="1"/>
        <v>800</v>
      </c>
      <c r="F124" s="42">
        <f t="shared" si="2"/>
        <v>4</v>
      </c>
      <c r="G124" s="40" t="b">
        <v>0</v>
      </c>
      <c r="H124" s="41"/>
      <c r="I124" s="41"/>
      <c r="J124" s="41">
        <f t="shared" si="3"/>
        <v>4</v>
      </c>
    </row>
    <row r="125">
      <c r="A125" s="41" t="s">
        <v>156</v>
      </c>
      <c r="B125" s="40">
        <v>200.0</v>
      </c>
      <c r="C125" s="40">
        <v>100.0</v>
      </c>
      <c r="D125" s="40">
        <v>500.0</v>
      </c>
      <c r="E125" s="30">
        <f t="shared" si="1"/>
        <v>800</v>
      </c>
      <c r="F125" s="42">
        <f t="shared" si="2"/>
        <v>4</v>
      </c>
      <c r="G125" s="40" t="b">
        <v>0</v>
      </c>
      <c r="H125" s="41"/>
      <c r="I125" s="41"/>
      <c r="J125" s="41">
        <f t="shared" si="3"/>
        <v>4</v>
      </c>
    </row>
    <row r="126">
      <c r="A126" s="41" t="s">
        <v>157</v>
      </c>
      <c r="B126" s="40">
        <v>200.0</v>
      </c>
      <c r="C126" s="40">
        <v>100.0</v>
      </c>
      <c r="D126" s="40">
        <v>500.0</v>
      </c>
      <c r="E126" s="30">
        <f t="shared" si="1"/>
        <v>800</v>
      </c>
      <c r="F126" s="42">
        <f t="shared" si="2"/>
        <v>4</v>
      </c>
      <c r="G126" s="40" t="b">
        <v>0</v>
      </c>
      <c r="H126" s="41"/>
      <c r="I126" s="41"/>
      <c r="J126" s="41">
        <f t="shared" si="3"/>
        <v>4</v>
      </c>
    </row>
    <row r="127">
      <c r="A127" s="41" t="s">
        <v>158</v>
      </c>
      <c r="B127" s="40">
        <v>200.0</v>
      </c>
      <c r="C127" s="40">
        <v>100.0</v>
      </c>
      <c r="D127" s="40">
        <v>500.0</v>
      </c>
      <c r="E127" s="30">
        <f t="shared" si="1"/>
        <v>800</v>
      </c>
      <c r="F127" s="42">
        <f t="shared" si="2"/>
        <v>4</v>
      </c>
      <c r="G127" s="40" t="b">
        <v>0</v>
      </c>
      <c r="H127" s="41"/>
      <c r="I127" s="41"/>
      <c r="J127" s="41">
        <f t="shared" si="3"/>
        <v>4</v>
      </c>
    </row>
    <row r="128">
      <c r="A128" s="41" t="s">
        <v>159</v>
      </c>
      <c r="B128" s="40">
        <v>200.0</v>
      </c>
      <c r="C128" s="40">
        <v>100.0</v>
      </c>
      <c r="D128" s="40">
        <v>500.0</v>
      </c>
      <c r="E128" s="30">
        <f t="shared" si="1"/>
        <v>800</v>
      </c>
      <c r="F128" s="42">
        <f t="shared" si="2"/>
        <v>4</v>
      </c>
      <c r="G128" s="40" t="b">
        <v>0</v>
      </c>
      <c r="H128" s="41"/>
      <c r="I128" s="41"/>
      <c r="J128" s="41">
        <f t="shared" si="3"/>
        <v>4</v>
      </c>
    </row>
    <row r="129">
      <c r="A129" s="41" t="s">
        <v>160</v>
      </c>
      <c r="B129" s="40">
        <v>200.0</v>
      </c>
      <c r="C129" s="40">
        <v>100.0</v>
      </c>
      <c r="D129" s="40">
        <v>500.0</v>
      </c>
      <c r="E129" s="30">
        <f t="shared" si="1"/>
        <v>800</v>
      </c>
      <c r="F129" s="42">
        <f t="shared" si="2"/>
        <v>4</v>
      </c>
      <c r="G129" s="40" t="b">
        <v>0</v>
      </c>
      <c r="H129" s="41"/>
      <c r="I129" s="41"/>
      <c r="J129" s="41">
        <f t="shared" si="3"/>
        <v>4</v>
      </c>
    </row>
    <row r="130">
      <c r="A130" s="41" t="s">
        <v>161</v>
      </c>
      <c r="B130" s="40">
        <v>200.0</v>
      </c>
      <c r="C130" s="40">
        <v>100.0</v>
      </c>
      <c r="D130" s="40">
        <v>500.0</v>
      </c>
      <c r="E130" s="30">
        <f t="shared" si="1"/>
        <v>800</v>
      </c>
      <c r="F130" s="42">
        <f t="shared" si="2"/>
        <v>4</v>
      </c>
      <c r="G130" s="40" t="b">
        <v>0</v>
      </c>
      <c r="H130" s="41"/>
      <c r="I130" s="41"/>
      <c r="J130" s="41">
        <f t="shared" si="3"/>
        <v>4</v>
      </c>
    </row>
    <row r="131">
      <c r="A131" s="41" t="s">
        <v>162</v>
      </c>
      <c r="B131" s="40">
        <v>200.0</v>
      </c>
      <c r="C131" s="40">
        <v>100.0</v>
      </c>
      <c r="D131" s="40">
        <v>500.0</v>
      </c>
      <c r="E131" s="30">
        <f t="shared" si="1"/>
        <v>800</v>
      </c>
      <c r="F131" s="42">
        <f t="shared" si="2"/>
        <v>4</v>
      </c>
      <c r="G131" s="40" t="b">
        <v>0</v>
      </c>
      <c r="H131" s="41"/>
      <c r="I131" s="41"/>
      <c r="J131" s="41">
        <f t="shared" si="3"/>
        <v>4</v>
      </c>
    </row>
    <row r="132">
      <c r="A132" s="41" t="s">
        <v>163</v>
      </c>
      <c r="B132" s="40">
        <v>200.0</v>
      </c>
      <c r="C132" s="40">
        <v>100.0</v>
      </c>
      <c r="D132" s="40">
        <v>500.0</v>
      </c>
      <c r="E132" s="30">
        <f t="shared" si="1"/>
        <v>800</v>
      </c>
      <c r="F132" s="42">
        <f t="shared" si="2"/>
        <v>4</v>
      </c>
      <c r="G132" s="40" t="b">
        <v>0</v>
      </c>
      <c r="H132" s="41"/>
      <c r="I132" s="41"/>
      <c r="J132" s="41">
        <f t="shared" si="3"/>
        <v>4</v>
      </c>
    </row>
    <row r="133">
      <c r="A133" s="41" t="s">
        <v>164</v>
      </c>
      <c r="B133" s="40">
        <v>200.0</v>
      </c>
      <c r="C133" s="40">
        <v>100.0</v>
      </c>
      <c r="D133" s="40">
        <v>500.0</v>
      </c>
      <c r="E133" s="30">
        <f t="shared" si="1"/>
        <v>800</v>
      </c>
      <c r="F133" s="42">
        <f t="shared" si="2"/>
        <v>4</v>
      </c>
      <c r="G133" s="40" t="b">
        <v>0</v>
      </c>
      <c r="H133" s="41"/>
      <c r="I133" s="41"/>
      <c r="J133" s="41">
        <f t="shared" si="3"/>
        <v>4</v>
      </c>
    </row>
    <row r="134">
      <c r="A134" s="41" t="s">
        <v>165</v>
      </c>
      <c r="B134" s="40">
        <v>200.0</v>
      </c>
      <c r="C134" s="40">
        <v>100.0</v>
      </c>
      <c r="D134" s="40">
        <v>500.0</v>
      </c>
      <c r="E134" s="30">
        <f t="shared" si="1"/>
        <v>800</v>
      </c>
      <c r="F134" s="42">
        <f t="shared" si="2"/>
        <v>4</v>
      </c>
      <c r="G134" s="40" t="b">
        <v>0</v>
      </c>
      <c r="H134" s="41"/>
      <c r="I134" s="41"/>
      <c r="J134" s="41">
        <f t="shared" si="3"/>
        <v>4</v>
      </c>
    </row>
    <row r="135">
      <c r="A135" s="41" t="s">
        <v>166</v>
      </c>
      <c r="B135" s="40">
        <v>200.0</v>
      </c>
      <c r="C135" s="40">
        <v>100.0</v>
      </c>
      <c r="D135" s="40">
        <v>500.0</v>
      </c>
      <c r="E135" s="30">
        <f t="shared" si="1"/>
        <v>800</v>
      </c>
      <c r="F135" s="42">
        <f t="shared" si="2"/>
        <v>4</v>
      </c>
      <c r="G135" s="40" t="b">
        <v>0</v>
      </c>
      <c r="H135" s="41"/>
      <c r="I135" s="41"/>
      <c r="J135" s="41">
        <f t="shared" si="3"/>
        <v>4</v>
      </c>
    </row>
    <row r="136">
      <c r="A136" s="41" t="s">
        <v>167</v>
      </c>
      <c r="B136" s="40">
        <v>200.0</v>
      </c>
      <c r="C136" s="40">
        <v>100.0</v>
      </c>
      <c r="D136" s="40">
        <v>500.0</v>
      </c>
      <c r="E136" s="30">
        <f t="shared" si="1"/>
        <v>800</v>
      </c>
      <c r="F136" s="42">
        <f t="shared" si="2"/>
        <v>4</v>
      </c>
      <c r="G136" s="40" t="b">
        <v>0</v>
      </c>
      <c r="H136" s="41"/>
      <c r="I136" s="41"/>
      <c r="J136" s="41">
        <f t="shared" si="3"/>
        <v>4</v>
      </c>
    </row>
    <row r="137">
      <c r="A137" s="41" t="s">
        <v>168</v>
      </c>
      <c r="B137" s="40">
        <v>200.0</v>
      </c>
      <c r="C137" s="40">
        <v>100.0</v>
      </c>
      <c r="D137" s="40">
        <v>500.0</v>
      </c>
      <c r="E137" s="30">
        <f t="shared" si="1"/>
        <v>800</v>
      </c>
      <c r="F137" s="42">
        <f t="shared" si="2"/>
        <v>4</v>
      </c>
      <c r="G137" s="40" t="b">
        <v>0</v>
      </c>
      <c r="H137" s="41"/>
      <c r="I137" s="41"/>
      <c r="J137" s="41">
        <f t="shared" si="3"/>
        <v>4</v>
      </c>
    </row>
    <row r="138">
      <c r="A138" s="41" t="s">
        <v>169</v>
      </c>
      <c r="B138" s="40">
        <v>200.0</v>
      </c>
      <c r="C138" s="40">
        <v>100.0</v>
      </c>
      <c r="D138" s="40">
        <v>500.0</v>
      </c>
      <c r="E138" s="30">
        <f t="shared" si="1"/>
        <v>800</v>
      </c>
      <c r="F138" s="42">
        <f t="shared" si="2"/>
        <v>4</v>
      </c>
      <c r="G138" s="40" t="b">
        <v>0</v>
      </c>
      <c r="H138" s="41"/>
      <c r="I138" s="41"/>
      <c r="J138" s="41">
        <f t="shared" si="3"/>
        <v>4</v>
      </c>
    </row>
    <row r="139">
      <c r="A139" s="41" t="s">
        <v>170</v>
      </c>
      <c r="B139" s="40">
        <v>200.0</v>
      </c>
      <c r="C139" s="40">
        <v>100.0</v>
      </c>
      <c r="D139" s="40">
        <v>500.0</v>
      </c>
      <c r="E139" s="30">
        <f t="shared" si="1"/>
        <v>800</v>
      </c>
      <c r="F139" s="42">
        <f t="shared" si="2"/>
        <v>4</v>
      </c>
      <c r="G139" s="40" t="b">
        <v>0</v>
      </c>
      <c r="H139" s="41"/>
      <c r="I139" s="41"/>
      <c r="J139" s="41">
        <f t="shared" si="3"/>
        <v>4</v>
      </c>
    </row>
    <row r="140">
      <c r="A140" s="41" t="s">
        <v>171</v>
      </c>
      <c r="B140" s="40">
        <v>200.0</v>
      </c>
      <c r="C140" s="40">
        <v>100.0</v>
      </c>
      <c r="D140" s="40">
        <v>500.0</v>
      </c>
      <c r="E140" s="30">
        <f t="shared" si="1"/>
        <v>800</v>
      </c>
      <c r="F140" s="42">
        <f t="shared" si="2"/>
        <v>4</v>
      </c>
      <c r="G140" s="40" t="b">
        <v>0</v>
      </c>
      <c r="H140" s="41"/>
      <c r="I140" s="41"/>
      <c r="J140" s="41">
        <f t="shared" si="3"/>
        <v>4</v>
      </c>
    </row>
    <row r="141">
      <c r="A141" s="41" t="s">
        <v>172</v>
      </c>
      <c r="B141" s="40">
        <v>200.0</v>
      </c>
      <c r="C141" s="40">
        <v>100.0</v>
      </c>
      <c r="D141" s="40">
        <v>500.0</v>
      </c>
      <c r="E141" s="30">
        <f t="shared" si="1"/>
        <v>800</v>
      </c>
      <c r="F141" s="42">
        <f t="shared" si="2"/>
        <v>4</v>
      </c>
      <c r="G141" s="40" t="b">
        <v>0</v>
      </c>
      <c r="H141" s="41"/>
      <c r="I141" s="41"/>
      <c r="J141" s="41">
        <f t="shared" si="3"/>
        <v>4</v>
      </c>
    </row>
    <row r="142">
      <c r="A142" s="41" t="s">
        <v>173</v>
      </c>
      <c r="B142" s="40">
        <v>200.0</v>
      </c>
      <c r="C142" s="40">
        <v>100.0</v>
      </c>
      <c r="D142" s="40">
        <v>500.0</v>
      </c>
      <c r="E142" s="30">
        <f t="shared" si="1"/>
        <v>800</v>
      </c>
      <c r="F142" s="42">
        <f t="shared" si="2"/>
        <v>4</v>
      </c>
      <c r="G142" s="40" t="b">
        <v>0</v>
      </c>
      <c r="H142" s="41"/>
      <c r="I142" s="41"/>
      <c r="J142" s="41">
        <f t="shared" si="3"/>
        <v>4</v>
      </c>
    </row>
    <row r="143">
      <c r="A143" s="41" t="s">
        <v>174</v>
      </c>
      <c r="B143" s="40">
        <v>200.0</v>
      </c>
      <c r="C143" s="40">
        <v>100.0</v>
      </c>
      <c r="D143" s="40">
        <v>500.0</v>
      </c>
      <c r="E143" s="30">
        <f t="shared" si="1"/>
        <v>800</v>
      </c>
      <c r="F143" s="42">
        <f t="shared" si="2"/>
        <v>4</v>
      </c>
      <c r="G143" s="40" t="b">
        <v>0</v>
      </c>
      <c r="H143" s="41"/>
      <c r="I143" s="41"/>
      <c r="J143" s="41">
        <f t="shared" si="3"/>
        <v>4</v>
      </c>
    </row>
    <row r="144">
      <c r="A144" s="41" t="s">
        <v>175</v>
      </c>
      <c r="B144" s="40">
        <v>200.0</v>
      </c>
      <c r="C144" s="40">
        <v>100.0</v>
      </c>
      <c r="D144" s="40">
        <v>500.0</v>
      </c>
      <c r="E144" s="30">
        <f t="shared" si="1"/>
        <v>800</v>
      </c>
      <c r="F144" s="42">
        <f t="shared" si="2"/>
        <v>4</v>
      </c>
      <c r="G144" s="40" t="b">
        <v>0</v>
      </c>
      <c r="H144" s="41"/>
      <c r="I144" s="41"/>
      <c r="J144" s="41">
        <f t="shared" si="3"/>
        <v>4</v>
      </c>
    </row>
    <row r="145">
      <c r="A145" s="41" t="s">
        <v>176</v>
      </c>
      <c r="B145" s="40">
        <v>200.0</v>
      </c>
      <c r="C145" s="40">
        <v>100.0</v>
      </c>
      <c r="D145" s="40">
        <v>500.0</v>
      </c>
      <c r="E145" s="30">
        <f t="shared" si="1"/>
        <v>800</v>
      </c>
      <c r="F145" s="42">
        <f t="shared" si="2"/>
        <v>4</v>
      </c>
      <c r="G145" s="40" t="b">
        <v>0</v>
      </c>
      <c r="H145" s="41"/>
      <c r="I145" s="41"/>
      <c r="J145" s="41">
        <f t="shared" si="3"/>
        <v>4</v>
      </c>
    </row>
    <row r="146">
      <c r="A146" s="41" t="s">
        <v>177</v>
      </c>
      <c r="B146" s="40">
        <v>200.0</v>
      </c>
      <c r="C146" s="40">
        <v>100.0</v>
      </c>
      <c r="D146" s="40">
        <v>500.0</v>
      </c>
      <c r="E146" s="30">
        <f t="shared" si="1"/>
        <v>800</v>
      </c>
      <c r="F146" s="42">
        <f t="shared" si="2"/>
        <v>4</v>
      </c>
      <c r="G146" s="40" t="b">
        <v>0</v>
      </c>
      <c r="H146" s="41"/>
      <c r="I146" s="41"/>
      <c r="J146" s="41">
        <f t="shared" si="3"/>
        <v>4</v>
      </c>
    </row>
    <row r="147">
      <c r="A147" s="41" t="s">
        <v>178</v>
      </c>
      <c r="B147" s="40">
        <v>200.0</v>
      </c>
      <c r="C147" s="40">
        <v>100.0</v>
      </c>
      <c r="D147" s="40">
        <v>500.0</v>
      </c>
      <c r="E147" s="30">
        <f t="shared" si="1"/>
        <v>800</v>
      </c>
      <c r="F147" s="42">
        <f t="shared" si="2"/>
        <v>4</v>
      </c>
      <c r="G147" s="40" t="b">
        <v>0</v>
      </c>
      <c r="H147" s="41"/>
      <c r="I147" s="41"/>
      <c r="J147" s="41">
        <f t="shared" si="3"/>
        <v>4</v>
      </c>
    </row>
    <row r="148">
      <c r="A148" s="41" t="s">
        <v>179</v>
      </c>
      <c r="B148" s="40">
        <v>200.0</v>
      </c>
      <c r="C148" s="40">
        <v>100.0</v>
      </c>
      <c r="D148" s="40">
        <v>500.0</v>
      </c>
      <c r="E148" s="30">
        <f t="shared" si="1"/>
        <v>800</v>
      </c>
      <c r="F148" s="42">
        <f t="shared" si="2"/>
        <v>4</v>
      </c>
      <c r="G148" s="40" t="b">
        <v>0</v>
      </c>
      <c r="H148" s="41"/>
      <c r="I148" s="41"/>
      <c r="J148" s="41">
        <f t="shared" si="3"/>
        <v>4</v>
      </c>
    </row>
    <row r="149">
      <c r="A149" s="41" t="s">
        <v>180</v>
      </c>
      <c r="B149" s="40">
        <v>200.0</v>
      </c>
      <c r="C149" s="40">
        <v>100.0</v>
      </c>
      <c r="D149" s="40">
        <v>500.0</v>
      </c>
      <c r="E149" s="30">
        <f t="shared" si="1"/>
        <v>800</v>
      </c>
      <c r="F149" s="42">
        <f t="shared" si="2"/>
        <v>4</v>
      </c>
      <c r="G149" s="40" t="b">
        <v>0</v>
      </c>
      <c r="H149" s="41"/>
      <c r="I149" s="41"/>
      <c r="J149" s="41">
        <f t="shared" si="3"/>
        <v>4</v>
      </c>
    </row>
    <row r="150">
      <c r="A150" s="41" t="s">
        <v>181</v>
      </c>
      <c r="B150" s="40">
        <v>200.0</v>
      </c>
      <c r="C150" s="40">
        <v>100.0</v>
      </c>
      <c r="D150" s="40">
        <v>500.0</v>
      </c>
      <c r="E150" s="30">
        <f t="shared" si="1"/>
        <v>800</v>
      </c>
      <c r="F150" s="42">
        <f t="shared" si="2"/>
        <v>4</v>
      </c>
      <c r="G150" s="40" t="b">
        <v>0</v>
      </c>
      <c r="H150" s="41"/>
      <c r="I150" s="41"/>
      <c r="J150" s="41">
        <f t="shared" si="3"/>
        <v>4</v>
      </c>
    </row>
    <row r="151">
      <c r="A151" s="41" t="s">
        <v>182</v>
      </c>
      <c r="B151" s="40">
        <v>200.0</v>
      </c>
      <c r="C151" s="40">
        <v>100.0</v>
      </c>
      <c r="D151" s="40">
        <v>500.0</v>
      </c>
      <c r="E151" s="30">
        <f t="shared" si="1"/>
        <v>800</v>
      </c>
      <c r="F151" s="42">
        <f t="shared" si="2"/>
        <v>4</v>
      </c>
      <c r="G151" s="40" t="b">
        <v>0</v>
      </c>
      <c r="H151" s="41"/>
      <c r="I151" s="41"/>
      <c r="J151" s="41">
        <f t="shared" si="3"/>
        <v>4</v>
      </c>
    </row>
    <row r="152">
      <c r="A152" s="41" t="s">
        <v>183</v>
      </c>
      <c r="B152" s="40">
        <v>200.0</v>
      </c>
      <c r="C152" s="40">
        <v>100.0</v>
      </c>
      <c r="D152" s="40">
        <v>500.0</v>
      </c>
      <c r="E152" s="30">
        <f t="shared" si="1"/>
        <v>800</v>
      </c>
      <c r="F152" s="42">
        <f t="shared" si="2"/>
        <v>4</v>
      </c>
      <c r="G152" s="40" t="b">
        <v>0</v>
      </c>
      <c r="H152" s="41"/>
      <c r="I152" s="41"/>
      <c r="J152" s="41">
        <f t="shared" si="3"/>
        <v>4</v>
      </c>
    </row>
    <row r="153">
      <c r="A153" s="41" t="s">
        <v>184</v>
      </c>
      <c r="B153" s="40">
        <v>200.0</v>
      </c>
      <c r="C153" s="40">
        <v>100.0</v>
      </c>
      <c r="D153" s="40">
        <v>500.0</v>
      </c>
      <c r="E153" s="30">
        <f t="shared" si="1"/>
        <v>800</v>
      </c>
      <c r="F153" s="42">
        <f t="shared" si="2"/>
        <v>4</v>
      </c>
      <c r="G153" s="40" t="b">
        <v>0</v>
      </c>
      <c r="H153" s="41"/>
      <c r="I153" s="41"/>
      <c r="J153" s="41">
        <f t="shared" si="3"/>
        <v>4</v>
      </c>
    </row>
    <row r="154">
      <c r="A154" s="41" t="s">
        <v>185</v>
      </c>
      <c r="B154" s="40">
        <v>200.0</v>
      </c>
      <c r="C154" s="40">
        <v>100.0</v>
      </c>
      <c r="D154" s="40">
        <v>500.0</v>
      </c>
      <c r="E154" s="30">
        <f t="shared" si="1"/>
        <v>800</v>
      </c>
      <c r="F154" s="42">
        <f t="shared" si="2"/>
        <v>4</v>
      </c>
      <c r="G154" s="40" t="b">
        <v>0</v>
      </c>
      <c r="H154" s="41"/>
      <c r="I154" s="41"/>
      <c r="J154" s="41">
        <f t="shared" si="3"/>
        <v>4</v>
      </c>
    </row>
    <row r="155">
      <c r="A155" s="41" t="s">
        <v>186</v>
      </c>
      <c r="B155" s="40">
        <v>200.0</v>
      </c>
      <c r="C155" s="40">
        <v>100.0</v>
      </c>
      <c r="D155" s="40">
        <v>500.0</v>
      </c>
      <c r="E155" s="30">
        <f t="shared" si="1"/>
        <v>800</v>
      </c>
      <c r="F155" s="42">
        <f t="shared" si="2"/>
        <v>4</v>
      </c>
      <c r="G155" s="40" t="b">
        <v>0</v>
      </c>
      <c r="H155" s="41"/>
      <c r="I155" s="41"/>
      <c r="J155" s="41">
        <f t="shared" si="3"/>
        <v>4</v>
      </c>
    </row>
    <row r="156">
      <c r="A156" s="41" t="s">
        <v>187</v>
      </c>
      <c r="B156" s="40">
        <v>200.0</v>
      </c>
      <c r="C156" s="40">
        <v>100.0</v>
      </c>
      <c r="D156" s="40">
        <v>500.0</v>
      </c>
      <c r="E156" s="30">
        <f t="shared" si="1"/>
        <v>800</v>
      </c>
      <c r="F156" s="42">
        <f t="shared" si="2"/>
        <v>4</v>
      </c>
      <c r="G156" s="40" t="b">
        <v>0</v>
      </c>
      <c r="H156" s="41"/>
      <c r="I156" s="41"/>
      <c r="J156" s="41">
        <f t="shared" si="3"/>
        <v>4</v>
      </c>
    </row>
    <row r="157">
      <c r="A157" s="41" t="s">
        <v>188</v>
      </c>
      <c r="B157" s="40">
        <v>200.0</v>
      </c>
      <c r="C157" s="40">
        <v>100.0</v>
      </c>
      <c r="D157" s="40">
        <v>500.0</v>
      </c>
      <c r="E157" s="30">
        <f t="shared" si="1"/>
        <v>800</v>
      </c>
      <c r="F157" s="42">
        <f t="shared" si="2"/>
        <v>4</v>
      </c>
      <c r="G157" s="40" t="b">
        <v>0</v>
      </c>
      <c r="H157" s="41"/>
      <c r="I157" s="41"/>
      <c r="J157" s="41">
        <f t="shared" si="3"/>
        <v>4</v>
      </c>
    </row>
    <row r="158">
      <c r="A158" s="41" t="s">
        <v>189</v>
      </c>
      <c r="B158" s="40">
        <v>200.0</v>
      </c>
      <c r="C158" s="40">
        <v>100.0</v>
      </c>
      <c r="D158" s="40">
        <v>500.0</v>
      </c>
      <c r="E158" s="30">
        <f t="shared" si="1"/>
        <v>800</v>
      </c>
      <c r="F158" s="42">
        <f t="shared" si="2"/>
        <v>4</v>
      </c>
      <c r="G158" s="40" t="b">
        <v>0</v>
      </c>
      <c r="H158" s="41"/>
      <c r="I158" s="41"/>
      <c r="J158" s="41">
        <f t="shared" si="3"/>
        <v>4</v>
      </c>
    </row>
    <row r="159">
      <c r="A159" s="41" t="s">
        <v>190</v>
      </c>
      <c r="B159" s="40">
        <v>200.0</v>
      </c>
      <c r="C159" s="40">
        <v>100.0</v>
      </c>
      <c r="D159" s="40">
        <v>500.0</v>
      </c>
      <c r="E159" s="30">
        <f t="shared" si="1"/>
        <v>800</v>
      </c>
      <c r="F159" s="42">
        <f t="shared" si="2"/>
        <v>4</v>
      </c>
      <c r="G159" s="40" t="b">
        <v>0</v>
      </c>
      <c r="H159" s="41"/>
      <c r="I159" s="41"/>
      <c r="J159" s="41">
        <f t="shared" si="3"/>
        <v>4</v>
      </c>
    </row>
    <row r="160">
      <c r="A160" s="41" t="s">
        <v>191</v>
      </c>
      <c r="B160" s="40">
        <v>200.0</v>
      </c>
      <c r="C160" s="40">
        <v>100.0</v>
      </c>
      <c r="D160" s="40">
        <v>500.0</v>
      </c>
      <c r="E160" s="30">
        <f t="shared" si="1"/>
        <v>800</v>
      </c>
      <c r="F160" s="42">
        <f t="shared" si="2"/>
        <v>4</v>
      </c>
      <c r="G160" s="40" t="b">
        <v>0</v>
      </c>
      <c r="H160" s="41"/>
      <c r="I160" s="41"/>
      <c r="J160" s="41">
        <f t="shared" si="3"/>
        <v>4</v>
      </c>
    </row>
    <row r="161">
      <c r="A161" s="41" t="s">
        <v>192</v>
      </c>
      <c r="B161" s="40">
        <v>200.0</v>
      </c>
      <c r="C161" s="40">
        <v>100.0</v>
      </c>
      <c r="D161" s="40">
        <v>500.0</v>
      </c>
      <c r="E161" s="30">
        <f t="shared" si="1"/>
        <v>800</v>
      </c>
      <c r="F161" s="42">
        <f t="shared" si="2"/>
        <v>4</v>
      </c>
      <c r="G161" s="40" t="b">
        <v>0</v>
      </c>
      <c r="H161" s="41"/>
      <c r="I161" s="41"/>
      <c r="J161" s="41">
        <f t="shared" si="3"/>
        <v>4</v>
      </c>
    </row>
    <row r="162">
      <c r="A162" s="41" t="s">
        <v>193</v>
      </c>
      <c r="B162" s="40">
        <v>200.0</v>
      </c>
      <c r="C162" s="40">
        <v>100.0</v>
      </c>
      <c r="D162" s="40">
        <v>500.0</v>
      </c>
      <c r="E162" s="30">
        <f t="shared" si="1"/>
        <v>800</v>
      </c>
      <c r="F162" s="42">
        <f t="shared" si="2"/>
        <v>4</v>
      </c>
      <c r="G162" s="40" t="b">
        <v>0</v>
      </c>
      <c r="H162" s="41"/>
      <c r="I162" s="41"/>
      <c r="J162" s="41">
        <f t="shared" si="3"/>
        <v>4</v>
      </c>
    </row>
    <row r="163">
      <c r="A163" s="41" t="s">
        <v>194</v>
      </c>
      <c r="B163" s="40">
        <v>200.0</v>
      </c>
      <c r="C163" s="40">
        <v>100.0</v>
      </c>
      <c r="D163" s="40">
        <v>500.0</v>
      </c>
      <c r="E163" s="30">
        <f t="shared" si="1"/>
        <v>800</v>
      </c>
      <c r="F163" s="42">
        <f t="shared" si="2"/>
        <v>4</v>
      </c>
      <c r="G163" s="40" t="b">
        <v>0</v>
      </c>
      <c r="H163" s="41"/>
      <c r="I163" s="41"/>
      <c r="J163" s="41">
        <f t="shared" si="3"/>
        <v>4</v>
      </c>
    </row>
    <row r="164">
      <c r="A164" s="41" t="s">
        <v>195</v>
      </c>
      <c r="B164" s="40">
        <v>200.0</v>
      </c>
      <c r="C164" s="40">
        <v>100.0</v>
      </c>
      <c r="D164" s="40">
        <v>500.0</v>
      </c>
      <c r="E164" s="30">
        <f t="shared" si="1"/>
        <v>800</v>
      </c>
      <c r="F164" s="42">
        <f t="shared" si="2"/>
        <v>4</v>
      </c>
      <c r="G164" s="40" t="b">
        <v>0</v>
      </c>
      <c r="H164" s="41"/>
      <c r="I164" s="41"/>
      <c r="J164" s="41">
        <f t="shared" si="3"/>
        <v>4</v>
      </c>
    </row>
    <row r="165">
      <c r="A165" s="41" t="s">
        <v>196</v>
      </c>
      <c r="B165" s="40">
        <v>200.0</v>
      </c>
      <c r="C165" s="40">
        <v>100.0</v>
      </c>
      <c r="D165" s="40">
        <v>500.0</v>
      </c>
      <c r="E165" s="30">
        <f t="shared" si="1"/>
        <v>800</v>
      </c>
      <c r="F165" s="42">
        <f t="shared" si="2"/>
        <v>4</v>
      </c>
      <c r="G165" s="40" t="b">
        <v>0</v>
      </c>
      <c r="H165" s="41"/>
      <c r="I165" s="41"/>
      <c r="J165" s="41">
        <f t="shared" si="3"/>
        <v>4</v>
      </c>
    </row>
    <row r="166">
      <c r="A166" s="41" t="s">
        <v>197</v>
      </c>
      <c r="B166" s="40">
        <v>200.0</v>
      </c>
      <c r="C166" s="40">
        <v>100.0</v>
      </c>
      <c r="D166" s="40">
        <v>500.0</v>
      </c>
      <c r="E166" s="30">
        <f t="shared" si="1"/>
        <v>800</v>
      </c>
      <c r="F166" s="42">
        <f t="shared" si="2"/>
        <v>4</v>
      </c>
      <c r="G166" s="40" t="b">
        <v>0</v>
      </c>
      <c r="H166" s="41"/>
      <c r="I166" s="41"/>
      <c r="J166" s="41">
        <f t="shared" si="3"/>
        <v>4</v>
      </c>
    </row>
    <row r="167">
      <c r="A167" s="41" t="s">
        <v>198</v>
      </c>
      <c r="B167" s="40">
        <v>200.0</v>
      </c>
      <c r="C167" s="40">
        <v>100.0</v>
      </c>
      <c r="D167" s="40">
        <v>500.0</v>
      </c>
      <c r="E167" s="30">
        <f t="shared" si="1"/>
        <v>800</v>
      </c>
      <c r="F167" s="42">
        <f t="shared" si="2"/>
        <v>4</v>
      </c>
      <c r="G167" s="40" t="b">
        <v>0</v>
      </c>
      <c r="H167" s="41"/>
      <c r="I167" s="41"/>
      <c r="J167" s="41">
        <f t="shared" si="3"/>
        <v>4</v>
      </c>
    </row>
    <row r="168">
      <c r="A168" s="41" t="s">
        <v>199</v>
      </c>
      <c r="B168" s="40">
        <v>200.0</v>
      </c>
      <c r="C168" s="40">
        <v>100.0</v>
      </c>
      <c r="D168" s="40">
        <v>500.0</v>
      </c>
      <c r="E168" s="30">
        <f t="shared" si="1"/>
        <v>800</v>
      </c>
      <c r="F168" s="42">
        <f t="shared" si="2"/>
        <v>4</v>
      </c>
      <c r="G168" s="40" t="b">
        <v>0</v>
      </c>
      <c r="H168" s="41"/>
      <c r="I168" s="41"/>
      <c r="J168" s="41">
        <f t="shared" si="3"/>
        <v>4</v>
      </c>
    </row>
    <row r="169">
      <c r="A169" s="41" t="s">
        <v>200</v>
      </c>
      <c r="B169" s="40">
        <v>200.0</v>
      </c>
      <c r="C169" s="40">
        <v>100.0</v>
      </c>
      <c r="D169" s="40">
        <v>500.0</v>
      </c>
      <c r="E169" s="30">
        <f t="shared" si="1"/>
        <v>800</v>
      </c>
      <c r="F169" s="42">
        <f t="shared" si="2"/>
        <v>4</v>
      </c>
      <c r="G169" s="40" t="b">
        <v>0</v>
      </c>
      <c r="H169" s="41"/>
      <c r="I169" s="41"/>
      <c r="J169" s="41">
        <f t="shared" si="3"/>
        <v>4</v>
      </c>
    </row>
    <row r="170">
      <c r="A170" s="41" t="s">
        <v>201</v>
      </c>
      <c r="B170" s="40">
        <v>200.0</v>
      </c>
      <c r="C170" s="40">
        <v>100.0</v>
      </c>
      <c r="D170" s="40">
        <v>500.0</v>
      </c>
      <c r="E170" s="30">
        <f t="shared" si="1"/>
        <v>800</v>
      </c>
      <c r="F170" s="42">
        <f t="shared" si="2"/>
        <v>4</v>
      </c>
      <c r="G170" s="40" t="b">
        <v>0</v>
      </c>
      <c r="H170" s="41"/>
      <c r="I170" s="41"/>
      <c r="J170" s="41">
        <f t="shared" si="3"/>
        <v>4</v>
      </c>
    </row>
    <row r="171">
      <c r="A171" s="41" t="s">
        <v>202</v>
      </c>
      <c r="B171" s="40">
        <v>200.0</v>
      </c>
      <c r="C171" s="40">
        <v>100.0</v>
      </c>
      <c r="D171" s="40">
        <v>500.0</v>
      </c>
      <c r="E171" s="30">
        <f t="shared" si="1"/>
        <v>800</v>
      </c>
      <c r="F171" s="42">
        <f t="shared" si="2"/>
        <v>4</v>
      </c>
      <c r="G171" s="40" t="b">
        <v>0</v>
      </c>
      <c r="H171" s="41"/>
      <c r="I171" s="41"/>
      <c r="J171" s="41">
        <f t="shared" si="3"/>
        <v>4</v>
      </c>
    </row>
    <row r="172">
      <c r="A172" s="41" t="s">
        <v>203</v>
      </c>
      <c r="B172" s="40">
        <v>200.0</v>
      </c>
      <c r="C172" s="40">
        <v>100.0</v>
      </c>
      <c r="D172" s="40">
        <v>500.0</v>
      </c>
      <c r="E172" s="30">
        <f t="shared" si="1"/>
        <v>800</v>
      </c>
      <c r="F172" s="42">
        <f t="shared" si="2"/>
        <v>4</v>
      </c>
      <c r="G172" s="40" t="b">
        <v>0</v>
      </c>
      <c r="H172" s="41"/>
      <c r="I172" s="41"/>
      <c r="J172" s="41">
        <f t="shared" si="3"/>
        <v>4</v>
      </c>
    </row>
    <row r="173">
      <c r="A173" s="41" t="s">
        <v>204</v>
      </c>
      <c r="B173" s="40">
        <v>200.0</v>
      </c>
      <c r="C173" s="40">
        <v>100.0</v>
      </c>
      <c r="D173" s="40">
        <v>500.0</v>
      </c>
      <c r="E173" s="30">
        <f t="shared" si="1"/>
        <v>800</v>
      </c>
      <c r="F173" s="42">
        <f t="shared" si="2"/>
        <v>4</v>
      </c>
      <c r="G173" s="40" t="b">
        <v>0</v>
      </c>
      <c r="H173" s="41"/>
      <c r="I173" s="41"/>
      <c r="J173" s="41">
        <f t="shared" si="3"/>
        <v>4</v>
      </c>
    </row>
    <row r="174">
      <c r="A174" s="41" t="s">
        <v>205</v>
      </c>
      <c r="B174" s="40">
        <v>200.0</v>
      </c>
      <c r="C174" s="40">
        <v>100.0</v>
      </c>
      <c r="D174" s="40">
        <v>500.0</v>
      </c>
      <c r="E174" s="30">
        <f t="shared" si="1"/>
        <v>800</v>
      </c>
      <c r="F174" s="42">
        <f t="shared" si="2"/>
        <v>4</v>
      </c>
      <c r="G174" s="40" t="b">
        <v>0</v>
      </c>
      <c r="H174" s="41"/>
      <c r="I174" s="41"/>
      <c r="J174" s="41">
        <f t="shared" si="3"/>
        <v>4</v>
      </c>
    </row>
    <row r="175">
      <c r="A175" s="41" t="s">
        <v>206</v>
      </c>
      <c r="B175" s="40">
        <v>200.0</v>
      </c>
      <c r="C175" s="40">
        <v>100.0</v>
      </c>
      <c r="D175" s="40">
        <v>500.0</v>
      </c>
      <c r="E175" s="30">
        <f t="shared" si="1"/>
        <v>800</v>
      </c>
      <c r="F175" s="42">
        <f t="shared" si="2"/>
        <v>4</v>
      </c>
      <c r="G175" s="40" t="b">
        <v>0</v>
      </c>
      <c r="H175" s="41"/>
      <c r="I175" s="41"/>
      <c r="J175" s="41">
        <f t="shared" si="3"/>
        <v>4</v>
      </c>
    </row>
    <row r="176">
      <c r="A176" s="41" t="s">
        <v>207</v>
      </c>
      <c r="B176" s="40">
        <v>200.0</v>
      </c>
      <c r="C176" s="40">
        <v>100.0</v>
      </c>
      <c r="D176" s="40">
        <v>500.0</v>
      </c>
      <c r="E176" s="30">
        <f t="shared" si="1"/>
        <v>800</v>
      </c>
      <c r="F176" s="42">
        <f t="shared" si="2"/>
        <v>4</v>
      </c>
      <c r="G176" s="40" t="b">
        <v>0</v>
      </c>
      <c r="H176" s="41"/>
      <c r="I176" s="41"/>
      <c r="J176" s="41">
        <f t="shared" si="3"/>
        <v>4</v>
      </c>
    </row>
    <row r="177">
      <c r="A177" s="41" t="s">
        <v>208</v>
      </c>
      <c r="B177" s="40">
        <v>200.0</v>
      </c>
      <c r="C177" s="40">
        <v>100.0</v>
      </c>
      <c r="D177" s="40">
        <v>500.0</v>
      </c>
      <c r="E177" s="30">
        <f t="shared" si="1"/>
        <v>800</v>
      </c>
      <c r="F177" s="42">
        <f t="shared" si="2"/>
        <v>4</v>
      </c>
      <c r="G177" s="40" t="b">
        <v>0</v>
      </c>
      <c r="H177" s="41"/>
      <c r="I177" s="41"/>
      <c r="J177" s="41">
        <f t="shared" si="3"/>
        <v>4</v>
      </c>
    </row>
    <row r="178">
      <c r="A178" s="41" t="s">
        <v>209</v>
      </c>
      <c r="B178" s="40">
        <v>200.0</v>
      </c>
      <c r="C178" s="40">
        <v>100.0</v>
      </c>
      <c r="D178" s="40">
        <v>500.0</v>
      </c>
      <c r="E178" s="30">
        <f t="shared" si="1"/>
        <v>800</v>
      </c>
      <c r="F178" s="42">
        <f t="shared" si="2"/>
        <v>4</v>
      </c>
      <c r="G178" s="40" t="b">
        <v>0</v>
      </c>
      <c r="H178" s="41"/>
      <c r="I178" s="41"/>
      <c r="J178" s="41">
        <f t="shared" si="3"/>
        <v>4</v>
      </c>
    </row>
    <row r="179">
      <c r="A179" s="41" t="s">
        <v>210</v>
      </c>
      <c r="B179" s="40">
        <v>200.0</v>
      </c>
      <c r="C179" s="40">
        <v>100.0</v>
      </c>
      <c r="D179" s="40">
        <v>500.0</v>
      </c>
      <c r="E179" s="30">
        <f t="shared" si="1"/>
        <v>800</v>
      </c>
      <c r="F179" s="42">
        <f t="shared" si="2"/>
        <v>4</v>
      </c>
      <c r="G179" s="40" t="b">
        <v>0</v>
      </c>
      <c r="H179" s="41"/>
      <c r="I179" s="41"/>
      <c r="J179" s="41">
        <f t="shared" si="3"/>
        <v>4</v>
      </c>
    </row>
    <row r="180">
      <c r="A180" s="41" t="s">
        <v>211</v>
      </c>
      <c r="B180" s="40">
        <v>200.0</v>
      </c>
      <c r="C180" s="40">
        <v>100.0</v>
      </c>
      <c r="D180" s="40">
        <v>500.0</v>
      </c>
      <c r="E180" s="30">
        <f t="shared" si="1"/>
        <v>800</v>
      </c>
      <c r="F180" s="42">
        <f t="shared" si="2"/>
        <v>4</v>
      </c>
      <c r="G180" s="40" t="b">
        <v>0</v>
      </c>
      <c r="H180" s="41"/>
      <c r="I180" s="41"/>
      <c r="J180" s="41">
        <f t="shared" si="3"/>
        <v>4</v>
      </c>
    </row>
    <row r="181">
      <c r="A181" s="41" t="s">
        <v>212</v>
      </c>
      <c r="B181" s="40">
        <v>200.0</v>
      </c>
      <c r="C181" s="40">
        <v>100.0</v>
      </c>
      <c r="D181" s="40">
        <v>500.0</v>
      </c>
      <c r="E181" s="30">
        <f t="shared" si="1"/>
        <v>800</v>
      </c>
      <c r="F181" s="42">
        <f t="shared" si="2"/>
        <v>4</v>
      </c>
      <c r="G181" s="40" t="b">
        <v>0</v>
      </c>
      <c r="H181" s="41"/>
      <c r="I181" s="41"/>
      <c r="J181" s="41">
        <f t="shared" si="3"/>
        <v>4</v>
      </c>
    </row>
    <row r="182">
      <c r="A182" s="41" t="s">
        <v>213</v>
      </c>
      <c r="B182" s="40">
        <v>200.0</v>
      </c>
      <c r="C182" s="40">
        <v>100.0</v>
      </c>
      <c r="D182" s="40">
        <v>500.0</v>
      </c>
      <c r="E182" s="30">
        <f t="shared" si="1"/>
        <v>800</v>
      </c>
      <c r="F182" s="42">
        <f t="shared" si="2"/>
        <v>4</v>
      </c>
      <c r="G182" s="40" t="b">
        <v>0</v>
      </c>
      <c r="H182" s="41"/>
      <c r="I182" s="41"/>
      <c r="J182" s="41">
        <f t="shared" si="3"/>
        <v>4</v>
      </c>
    </row>
    <row r="183">
      <c r="A183" s="41" t="s">
        <v>214</v>
      </c>
      <c r="B183" s="40">
        <v>200.0</v>
      </c>
      <c r="C183" s="40">
        <v>100.0</v>
      </c>
      <c r="D183" s="40">
        <v>500.0</v>
      </c>
      <c r="E183" s="30">
        <f t="shared" si="1"/>
        <v>800</v>
      </c>
      <c r="F183" s="42">
        <f t="shared" si="2"/>
        <v>4</v>
      </c>
      <c r="G183" s="40" t="b">
        <v>0</v>
      </c>
      <c r="H183" s="41"/>
      <c r="I183" s="41"/>
      <c r="J183" s="41">
        <f t="shared" si="3"/>
        <v>4</v>
      </c>
    </row>
    <row r="184">
      <c r="A184" s="41" t="s">
        <v>215</v>
      </c>
      <c r="B184" s="40">
        <v>200.0</v>
      </c>
      <c r="C184" s="40">
        <v>100.0</v>
      </c>
      <c r="D184" s="40">
        <v>500.0</v>
      </c>
      <c r="E184" s="30">
        <f t="shared" si="1"/>
        <v>800</v>
      </c>
      <c r="F184" s="42">
        <f t="shared" si="2"/>
        <v>4</v>
      </c>
      <c r="G184" s="40" t="b">
        <v>0</v>
      </c>
      <c r="H184" s="41"/>
      <c r="I184" s="41"/>
      <c r="J184" s="41">
        <f t="shared" si="3"/>
        <v>4</v>
      </c>
    </row>
    <row r="185">
      <c r="A185" s="41" t="s">
        <v>216</v>
      </c>
      <c r="B185" s="40">
        <v>200.0</v>
      </c>
      <c r="C185" s="40">
        <v>100.0</v>
      </c>
      <c r="D185" s="40">
        <v>500.0</v>
      </c>
      <c r="E185" s="30">
        <f t="shared" si="1"/>
        <v>800</v>
      </c>
      <c r="F185" s="42">
        <f t="shared" si="2"/>
        <v>4</v>
      </c>
      <c r="G185" s="40" t="b">
        <v>0</v>
      </c>
      <c r="H185" s="41"/>
      <c r="I185" s="41"/>
      <c r="J185" s="41">
        <f t="shared" si="3"/>
        <v>4</v>
      </c>
    </row>
    <row r="186">
      <c r="A186" s="41" t="s">
        <v>217</v>
      </c>
      <c r="B186" s="40">
        <v>200.0</v>
      </c>
      <c r="C186" s="40">
        <v>100.0</v>
      </c>
      <c r="D186" s="40">
        <v>500.0</v>
      </c>
      <c r="E186" s="30">
        <f t="shared" si="1"/>
        <v>800</v>
      </c>
      <c r="F186" s="42">
        <f t="shared" si="2"/>
        <v>4</v>
      </c>
      <c r="G186" s="40" t="b">
        <v>0</v>
      </c>
      <c r="H186" s="41"/>
      <c r="I186" s="41"/>
      <c r="J186" s="41">
        <f t="shared" si="3"/>
        <v>4</v>
      </c>
    </row>
    <row r="187">
      <c r="A187" s="41" t="s">
        <v>218</v>
      </c>
      <c r="B187" s="40">
        <v>200.0</v>
      </c>
      <c r="C187" s="40">
        <v>100.0</v>
      </c>
      <c r="D187" s="40">
        <v>500.0</v>
      </c>
      <c r="E187" s="30">
        <f t="shared" si="1"/>
        <v>800</v>
      </c>
      <c r="F187" s="42">
        <f t="shared" si="2"/>
        <v>4</v>
      </c>
      <c r="G187" s="40" t="b">
        <v>0</v>
      </c>
      <c r="H187" s="41"/>
      <c r="I187" s="41"/>
      <c r="J187" s="41">
        <f t="shared" si="3"/>
        <v>4</v>
      </c>
    </row>
    <row r="188">
      <c r="A188" s="41" t="s">
        <v>219</v>
      </c>
      <c r="B188" s="40">
        <v>200.0</v>
      </c>
      <c r="C188" s="40">
        <v>100.0</v>
      </c>
      <c r="D188" s="40">
        <v>500.0</v>
      </c>
      <c r="E188" s="30">
        <f t="shared" si="1"/>
        <v>800</v>
      </c>
      <c r="F188" s="42">
        <f t="shared" si="2"/>
        <v>4</v>
      </c>
      <c r="G188" s="40" t="b">
        <v>0</v>
      </c>
      <c r="H188" s="41"/>
      <c r="I188" s="41"/>
      <c r="J188" s="41">
        <f t="shared" si="3"/>
        <v>4</v>
      </c>
    </row>
    <row r="189">
      <c r="A189" s="41" t="s">
        <v>221</v>
      </c>
      <c r="B189" s="40">
        <v>200.0</v>
      </c>
      <c r="C189" s="40">
        <v>100.0</v>
      </c>
      <c r="D189" s="40">
        <v>500.0</v>
      </c>
      <c r="E189" s="30">
        <f t="shared" si="1"/>
        <v>800</v>
      </c>
      <c r="F189" s="42">
        <f t="shared" si="2"/>
        <v>4</v>
      </c>
      <c r="G189" s="40" t="b">
        <v>0</v>
      </c>
      <c r="H189" s="41"/>
      <c r="I189" s="41"/>
      <c r="J189" s="41">
        <f t="shared" si="3"/>
        <v>4</v>
      </c>
    </row>
    <row r="190">
      <c r="A190" s="41" t="s">
        <v>222</v>
      </c>
      <c r="B190" s="40">
        <v>200.0</v>
      </c>
      <c r="C190" s="40">
        <v>100.0</v>
      </c>
      <c r="D190" s="40">
        <v>500.0</v>
      </c>
      <c r="E190" s="30">
        <f t="shared" si="1"/>
        <v>800</v>
      </c>
      <c r="F190" s="42">
        <f t="shared" si="2"/>
        <v>4</v>
      </c>
      <c r="G190" s="40" t="b">
        <v>0</v>
      </c>
      <c r="H190" s="41"/>
      <c r="I190" s="41"/>
      <c r="J190" s="41">
        <f t="shared" si="3"/>
        <v>4</v>
      </c>
    </row>
    <row r="191">
      <c r="A191" s="41" t="s">
        <v>223</v>
      </c>
      <c r="B191" s="40">
        <v>200.0</v>
      </c>
      <c r="C191" s="40">
        <v>100.0</v>
      </c>
      <c r="D191" s="40">
        <v>500.0</v>
      </c>
      <c r="E191" s="30">
        <f t="shared" si="1"/>
        <v>800</v>
      </c>
      <c r="F191" s="42">
        <f t="shared" si="2"/>
        <v>4</v>
      </c>
      <c r="G191" s="40" t="b">
        <v>0</v>
      </c>
      <c r="H191" s="41"/>
      <c r="I191" s="41"/>
      <c r="J191" s="41">
        <f t="shared" si="3"/>
        <v>4</v>
      </c>
    </row>
    <row r="192">
      <c r="A192" s="41" t="s">
        <v>224</v>
      </c>
      <c r="B192" s="40">
        <v>200.0</v>
      </c>
      <c r="C192" s="40">
        <v>100.0</v>
      </c>
      <c r="D192" s="40">
        <v>500.0</v>
      </c>
      <c r="E192" s="30">
        <f t="shared" si="1"/>
        <v>800</v>
      </c>
      <c r="F192" s="42">
        <f t="shared" si="2"/>
        <v>4</v>
      </c>
      <c r="G192" s="40" t="b">
        <v>0</v>
      </c>
      <c r="H192" s="41"/>
      <c r="I192" s="41"/>
      <c r="J192" s="41">
        <f t="shared" si="3"/>
        <v>4</v>
      </c>
    </row>
    <row r="193">
      <c r="A193" s="41" t="s">
        <v>225</v>
      </c>
      <c r="B193" s="40">
        <v>200.0</v>
      </c>
      <c r="C193" s="40">
        <v>100.0</v>
      </c>
      <c r="D193" s="40">
        <v>500.0</v>
      </c>
      <c r="E193" s="30">
        <f t="shared" si="1"/>
        <v>800</v>
      </c>
      <c r="F193" s="42">
        <f t="shared" si="2"/>
        <v>4</v>
      </c>
      <c r="G193" s="40" t="b">
        <v>0</v>
      </c>
      <c r="H193" s="41"/>
      <c r="I193" s="41"/>
      <c r="J193" s="41">
        <f t="shared" si="3"/>
        <v>4</v>
      </c>
    </row>
    <row r="194">
      <c r="A194" s="41" t="s">
        <v>226</v>
      </c>
      <c r="B194" s="40">
        <v>200.0</v>
      </c>
      <c r="C194" s="40">
        <v>100.0</v>
      </c>
      <c r="D194" s="40">
        <v>500.0</v>
      </c>
      <c r="E194" s="30">
        <f t="shared" si="1"/>
        <v>800</v>
      </c>
      <c r="F194" s="42">
        <f t="shared" si="2"/>
        <v>4</v>
      </c>
      <c r="G194" s="40" t="b">
        <v>0</v>
      </c>
      <c r="H194" s="41"/>
      <c r="I194" s="41"/>
      <c r="J194" s="41">
        <f t="shared" si="3"/>
        <v>4</v>
      </c>
    </row>
    <row r="195">
      <c r="A195" s="41" t="s">
        <v>228</v>
      </c>
      <c r="B195" s="40">
        <v>200.0</v>
      </c>
      <c r="C195" s="40">
        <v>100.0</v>
      </c>
      <c r="D195" s="40">
        <v>500.0</v>
      </c>
      <c r="E195" s="30">
        <f t="shared" si="1"/>
        <v>800</v>
      </c>
      <c r="F195" s="42">
        <f t="shared" si="2"/>
        <v>4</v>
      </c>
      <c r="G195" s="40" t="b">
        <v>0</v>
      </c>
      <c r="H195" s="41"/>
      <c r="I195" s="41"/>
      <c r="J195" s="41">
        <f t="shared" si="3"/>
        <v>4</v>
      </c>
    </row>
    <row r="196">
      <c r="A196" s="41" t="s">
        <v>229</v>
      </c>
      <c r="B196" s="40">
        <v>200.0</v>
      </c>
      <c r="C196" s="40">
        <v>100.0</v>
      </c>
      <c r="D196" s="40">
        <v>500.0</v>
      </c>
      <c r="E196" s="30">
        <f t="shared" si="1"/>
        <v>800</v>
      </c>
      <c r="F196" s="42">
        <f t="shared" si="2"/>
        <v>4</v>
      </c>
      <c r="G196" s="40" t="b">
        <v>0</v>
      </c>
      <c r="H196" s="41"/>
      <c r="I196" s="41"/>
      <c r="J196" s="41">
        <f t="shared" si="3"/>
        <v>4</v>
      </c>
    </row>
    <row r="197">
      <c r="A197" s="41" t="s">
        <v>230</v>
      </c>
      <c r="B197" s="40">
        <v>200.0</v>
      </c>
      <c r="C197" s="40">
        <v>100.0</v>
      </c>
      <c r="D197" s="40">
        <v>500.0</v>
      </c>
      <c r="E197" s="30">
        <f t="shared" si="1"/>
        <v>800</v>
      </c>
      <c r="F197" s="42">
        <f t="shared" si="2"/>
        <v>4</v>
      </c>
      <c r="G197" s="40" t="b">
        <v>0</v>
      </c>
      <c r="H197" s="41"/>
      <c r="I197" s="41"/>
      <c r="J197" s="41">
        <f t="shared" si="3"/>
        <v>4</v>
      </c>
    </row>
    <row r="198">
      <c r="A198" s="41" t="s">
        <v>231</v>
      </c>
      <c r="B198" s="40">
        <v>200.0</v>
      </c>
      <c r="C198" s="40">
        <v>100.0</v>
      </c>
      <c r="D198" s="40">
        <v>500.0</v>
      </c>
      <c r="E198" s="30">
        <f t="shared" si="1"/>
        <v>800</v>
      </c>
      <c r="F198" s="42">
        <f t="shared" si="2"/>
        <v>4</v>
      </c>
      <c r="G198" s="40" t="b">
        <v>0</v>
      </c>
      <c r="H198" s="41"/>
      <c r="I198" s="41"/>
      <c r="J198" s="41">
        <f t="shared" si="3"/>
        <v>4</v>
      </c>
    </row>
    <row r="199">
      <c r="A199" s="41" t="s">
        <v>232</v>
      </c>
      <c r="B199" s="40">
        <v>200.0</v>
      </c>
      <c r="C199" s="40">
        <v>100.0</v>
      </c>
      <c r="D199" s="40">
        <v>500.0</v>
      </c>
      <c r="E199" s="30">
        <f t="shared" si="1"/>
        <v>800</v>
      </c>
      <c r="F199" s="42">
        <f t="shared" si="2"/>
        <v>4</v>
      </c>
      <c r="G199" s="40" t="b">
        <v>0</v>
      </c>
      <c r="H199" s="41"/>
      <c r="I199" s="41"/>
      <c r="J199" s="41">
        <f t="shared" si="3"/>
        <v>4</v>
      </c>
    </row>
    <row r="200">
      <c r="A200" s="41"/>
      <c r="B200" s="40">
        <v>200.0</v>
      </c>
      <c r="C200" s="40">
        <v>100.0</v>
      </c>
      <c r="D200" s="40">
        <v>500.0</v>
      </c>
      <c r="E200" s="30">
        <f t="shared" si="1"/>
        <v>800</v>
      </c>
      <c r="F200" s="42" t="str">
        <f t="shared" si="2"/>
        <v/>
      </c>
      <c r="G200" s="40" t="b">
        <v>0</v>
      </c>
      <c r="H200" s="41"/>
      <c r="I200" s="41"/>
      <c r="J200" s="41" t="str">
        <f t="shared" si="3"/>
        <v/>
      </c>
    </row>
    <row r="201">
      <c r="A201" s="41"/>
      <c r="B201" s="40">
        <v>200.0</v>
      </c>
      <c r="C201" s="40">
        <v>100.0</v>
      </c>
      <c r="D201" s="40">
        <v>500.0</v>
      </c>
      <c r="E201" s="30">
        <f t="shared" si="1"/>
        <v>800</v>
      </c>
      <c r="F201" s="42" t="str">
        <f t="shared" si="2"/>
        <v/>
      </c>
      <c r="G201" s="40" t="b">
        <v>0</v>
      </c>
      <c r="H201" s="41"/>
      <c r="I201" s="41"/>
      <c r="J201" s="41" t="str">
        <f t="shared" si="3"/>
        <v/>
      </c>
    </row>
    <row r="202">
      <c r="A202" s="41"/>
      <c r="B202" s="41"/>
      <c r="C202" s="41"/>
      <c r="D202" s="41"/>
      <c r="E202" s="30" t="str">
        <f t="shared" si="1"/>
        <v/>
      </c>
      <c r="F202" s="42" t="str">
        <f t="shared" si="2"/>
        <v/>
      </c>
      <c r="G202" s="40" t="b">
        <v>0</v>
      </c>
      <c r="H202" s="41"/>
      <c r="I202" s="41"/>
      <c r="J202" s="41" t="str">
        <f t="shared" si="3"/>
        <v/>
      </c>
    </row>
    <row r="203">
      <c r="A203" s="41"/>
      <c r="B203" s="41"/>
      <c r="C203" s="41"/>
      <c r="D203" s="41"/>
      <c r="E203" s="30" t="str">
        <f t="shared" si="1"/>
        <v/>
      </c>
      <c r="F203" s="42" t="str">
        <f t="shared" si="2"/>
        <v/>
      </c>
      <c r="G203" s="40" t="b">
        <v>0</v>
      </c>
      <c r="H203" s="41"/>
      <c r="I203" s="41"/>
      <c r="J203" s="41" t="str">
        <f t="shared" si="3"/>
        <v/>
      </c>
    </row>
    <row r="204">
      <c r="A204" s="41"/>
      <c r="B204" s="41"/>
      <c r="C204" s="41"/>
      <c r="D204" s="41"/>
      <c r="E204" s="30" t="str">
        <f t="shared" si="1"/>
        <v/>
      </c>
      <c r="F204" s="42" t="str">
        <f t="shared" si="2"/>
        <v/>
      </c>
      <c r="G204" s="40" t="b">
        <v>0</v>
      </c>
      <c r="H204" s="41"/>
      <c r="I204" s="41"/>
      <c r="J204" s="41" t="str">
        <f t="shared" si="3"/>
        <v/>
      </c>
    </row>
    <row r="205">
      <c r="A205" s="41"/>
      <c r="B205" s="41"/>
      <c r="C205" s="41"/>
      <c r="D205" s="41"/>
      <c r="E205" s="30" t="str">
        <f t="shared" si="1"/>
        <v/>
      </c>
      <c r="F205" s="42" t="str">
        <f t="shared" si="2"/>
        <v/>
      </c>
      <c r="G205" s="40" t="b">
        <v>0</v>
      </c>
      <c r="H205" s="41"/>
      <c r="I205" s="41"/>
      <c r="J205" s="41" t="str">
        <f t="shared" si="3"/>
        <v/>
      </c>
    </row>
    <row r="206">
      <c r="A206" s="41"/>
      <c r="B206" s="41"/>
      <c r="C206" s="41"/>
      <c r="D206" s="41"/>
      <c r="E206" s="30" t="str">
        <f t="shared" si="1"/>
        <v/>
      </c>
      <c r="F206" s="42" t="str">
        <f t="shared" si="2"/>
        <v/>
      </c>
      <c r="G206" s="40" t="b">
        <v>0</v>
      </c>
      <c r="H206" s="41"/>
      <c r="I206" s="41"/>
      <c r="J206" s="41" t="str">
        <f t="shared" si="3"/>
        <v/>
      </c>
    </row>
    <row r="207">
      <c r="A207" s="41"/>
      <c r="B207" s="41"/>
      <c r="C207" s="41"/>
      <c r="D207" s="41"/>
      <c r="E207" s="30" t="str">
        <f t="shared" si="1"/>
        <v/>
      </c>
      <c r="F207" s="42" t="str">
        <f t="shared" si="2"/>
        <v/>
      </c>
      <c r="G207" s="40" t="b">
        <v>0</v>
      </c>
      <c r="H207" s="41"/>
      <c r="I207" s="41"/>
      <c r="J207" s="41" t="str">
        <f t="shared" si="3"/>
        <v/>
      </c>
    </row>
    <row r="208">
      <c r="A208" s="41"/>
      <c r="B208" s="41"/>
      <c r="C208" s="41"/>
      <c r="D208" s="41"/>
      <c r="E208" s="30" t="str">
        <f t="shared" si="1"/>
        <v/>
      </c>
      <c r="F208" s="42" t="str">
        <f t="shared" si="2"/>
        <v/>
      </c>
      <c r="G208" s="40" t="b">
        <v>0</v>
      </c>
      <c r="H208" s="41"/>
      <c r="I208" s="41"/>
      <c r="J208" s="41" t="str">
        <f t="shared" si="3"/>
        <v/>
      </c>
    </row>
    <row r="209">
      <c r="A209" s="41"/>
      <c r="B209" s="41"/>
      <c r="C209" s="41"/>
      <c r="D209" s="41"/>
      <c r="E209" s="30" t="str">
        <f t="shared" si="1"/>
        <v/>
      </c>
      <c r="F209" s="42" t="str">
        <f t="shared" si="2"/>
        <v/>
      </c>
      <c r="G209" s="40" t="b">
        <v>0</v>
      </c>
      <c r="H209" s="41"/>
      <c r="I209" s="41"/>
      <c r="J209" s="41" t="str">
        <f t="shared" si="3"/>
        <v/>
      </c>
    </row>
    <row r="210">
      <c r="A210" s="41"/>
      <c r="B210" s="41"/>
      <c r="C210" s="41"/>
      <c r="D210" s="41"/>
      <c r="E210" s="30" t="str">
        <f t="shared" si="1"/>
        <v/>
      </c>
      <c r="F210" s="42" t="str">
        <f t="shared" si="2"/>
        <v/>
      </c>
      <c r="G210" s="40" t="b">
        <v>0</v>
      </c>
      <c r="H210" s="41"/>
      <c r="I210" s="41"/>
      <c r="J210" s="41" t="str">
        <f t="shared" si="3"/>
        <v/>
      </c>
    </row>
    <row r="211">
      <c r="A211" s="41"/>
      <c r="B211" s="41"/>
      <c r="C211" s="41"/>
      <c r="D211" s="41"/>
      <c r="E211" s="30" t="str">
        <f t="shared" si="1"/>
        <v/>
      </c>
      <c r="F211" s="42" t="str">
        <f t="shared" si="2"/>
        <v/>
      </c>
      <c r="G211" s="40" t="b">
        <v>0</v>
      </c>
      <c r="H211" s="41"/>
      <c r="I211" s="41"/>
      <c r="J211" s="41" t="str">
        <f t="shared" si="3"/>
        <v/>
      </c>
    </row>
    <row r="212">
      <c r="A212" s="41"/>
      <c r="B212" s="41"/>
      <c r="C212" s="41"/>
      <c r="D212" s="41"/>
      <c r="E212" s="30" t="str">
        <f t="shared" si="1"/>
        <v/>
      </c>
      <c r="F212" s="42" t="str">
        <f t="shared" si="2"/>
        <v/>
      </c>
      <c r="G212" s="40" t="b">
        <v>0</v>
      </c>
      <c r="H212" s="41"/>
      <c r="I212" s="41"/>
      <c r="J212" s="41" t="str">
        <f t="shared" si="3"/>
        <v/>
      </c>
    </row>
    <row r="213">
      <c r="A213" s="41"/>
      <c r="B213" s="41"/>
      <c r="C213" s="41"/>
      <c r="D213" s="41"/>
      <c r="E213" s="30" t="str">
        <f t="shared" si="1"/>
        <v/>
      </c>
      <c r="F213" s="42" t="str">
        <f t="shared" si="2"/>
        <v/>
      </c>
      <c r="G213" s="40" t="b">
        <v>0</v>
      </c>
      <c r="H213" s="41"/>
      <c r="I213" s="41"/>
      <c r="J213" s="41" t="str">
        <f t="shared" si="3"/>
        <v/>
      </c>
    </row>
    <row r="214">
      <c r="A214" s="41"/>
      <c r="B214" s="41"/>
      <c r="C214" s="41"/>
      <c r="D214" s="41"/>
      <c r="E214" s="30" t="str">
        <f t="shared" si="1"/>
        <v/>
      </c>
      <c r="F214" s="42" t="str">
        <f t="shared" si="2"/>
        <v/>
      </c>
      <c r="G214" s="40" t="b">
        <v>0</v>
      </c>
      <c r="H214" s="41"/>
      <c r="I214" s="41"/>
      <c r="J214" s="41" t="str">
        <f t="shared" si="3"/>
        <v/>
      </c>
    </row>
    <row r="215">
      <c r="A215" s="41"/>
      <c r="B215" s="41"/>
      <c r="C215" s="41"/>
      <c r="D215" s="41"/>
      <c r="E215" s="30" t="str">
        <f t="shared" si="1"/>
        <v/>
      </c>
      <c r="F215" s="42" t="str">
        <f t="shared" si="2"/>
        <v/>
      </c>
      <c r="G215" s="40" t="b">
        <v>0</v>
      </c>
      <c r="H215" s="41"/>
      <c r="I215" s="41"/>
      <c r="J215" s="41" t="str">
        <f t="shared" si="3"/>
        <v/>
      </c>
    </row>
    <row r="216">
      <c r="A216" s="41"/>
      <c r="B216" s="41"/>
      <c r="C216" s="41"/>
      <c r="D216" s="41"/>
      <c r="E216" s="30" t="str">
        <f t="shared" si="1"/>
        <v/>
      </c>
      <c r="F216" s="42" t="str">
        <f t="shared" si="2"/>
        <v/>
      </c>
      <c r="G216" s="40" t="b">
        <v>0</v>
      </c>
      <c r="H216" s="41"/>
      <c r="I216" s="41"/>
      <c r="J216" s="41" t="str">
        <f t="shared" si="3"/>
        <v/>
      </c>
    </row>
    <row r="217">
      <c r="A217" s="41"/>
      <c r="B217" s="41"/>
      <c r="C217" s="41"/>
      <c r="D217" s="41"/>
      <c r="E217" s="30" t="str">
        <f t="shared" si="1"/>
        <v/>
      </c>
      <c r="F217" s="42" t="str">
        <f t="shared" si="2"/>
        <v/>
      </c>
      <c r="G217" s="40" t="b">
        <v>0</v>
      </c>
      <c r="H217" s="41"/>
      <c r="I217" s="41"/>
      <c r="J217" s="41" t="str">
        <f t="shared" si="3"/>
        <v/>
      </c>
    </row>
    <row r="218">
      <c r="A218" s="41"/>
      <c r="B218" s="41"/>
      <c r="C218" s="41"/>
      <c r="D218" s="41"/>
      <c r="E218" s="30" t="str">
        <f t="shared" si="1"/>
        <v/>
      </c>
      <c r="F218" s="42" t="str">
        <f t="shared" si="2"/>
        <v/>
      </c>
      <c r="G218" s="40" t="b">
        <v>0</v>
      </c>
      <c r="H218" s="41"/>
      <c r="I218" s="41"/>
      <c r="J218" s="41" t="str">
        <f t="shared" si="3"/>
        <v/>
      </c>
    </row>
    <row r="219">
      <c r="A219" s="41"/>
      <c r="B219" s="41"/>
      <c r="C219" s="41"/>
      <c r="D219" s="41"/>
      <c r="E219" s="30" t="str">
        <f t="shared" si="1"/>
        <v/>
      </c>
      <c r="F219" s="42" t="str">
        <f t="shared" si="2"/>
        <v/>
      </c>
      <c r="G219" s="40" t="b">
        <v>0</v>
      </c>
      <c r="H219" s="41"/>
      <c r="I219" s="41"/>
      <c r="J219" s="41" t="str">
        <f t="shared" si="3"/>
        <v/>
      </c>
    </row>
    <row r="220">
      <c r="A220" s="41"/>
      <c r="B220" s="41"/>
      <c r="C220" s="41"/>
      <c r="D220" s="41"/>
      <c r="E220" s="30" t="str">
        <f t="shared" si="1"/>
        <v/>
      </c>
      <c r="F220" s="42" t="str">
        <f t="shared" si="2"/>
        <v/>
      </c>
      <c r="G220" s="40" t="b">
        <v>0</v>
      </c>
      <c r="H220" s="41"/>
      <c r="I220" s="41"/>
      <c r="J220" s="41" t="str">
        <f t="shared" si="3"/>
        <v/>
      </c>
    </row>
    <row r="221">
      <c r="A221" s="41"/>
      <c r="B221" s="41"/>
      <c r="C221" s="41"/>
      <c r="D221" s="41"/>
      <c r="E221" s="30" t="str">
        <f t="shared" si="1"/>
        <v/>
      </c>
      <c r="F221" s="42" t="str">
        <f t="shared" si="2"/>
        <v/>
      </c>
      <c r="G221" s="40" t="b">
        <v>0</v>
      </c>
      <c r="H221" s="41"/>
      <c r="I221" s="41"/>
      <c r="J221" s="41" t="str">
        <f t="shared" si="3"/>
        <v/>
      </c>
    </row>
    <row r="222">
      <c r="A222" s="41"/>
      <c r="B222" s="41"/>
      <c r="C222" s="41"/>
      <c r="D222" s="41"/>
      <c r="E222" s="30" t="str">
        <f t="shared" si="1"/>
        <v/>
      </c>
      <c r="F222" s="42" t="str">
        <f t="shared" si="2"/>
        <v/>
      </c>
      <c r="G222" s="40" t="b">
        <v>0</v>
      </c>
      <c r="H222" s="41"/>
      <c r="I222" s="41"/>
      <c r="J222" s="41" t="str">
        <f t="shared" si="3"/>
        <v/>
      </c>
    </row>
    <row r="223">
      <c r="A223" s="41"/>
      <c r="B223" s="41"/>
      <c r="C223" s="41"/>
      <c r="D223" s="41"/>
      <c r="E223" s="30" t="str">
        <f t="shared" si="1"/>
        <v/>
      </c>
      <c r="F223" s="42" t="str">
        <f t="shared" si="2"/>
        <v/>
      </c>
      <c r="G223" s="40" t="b">
        <v>0</v>
      </c>
      <c r="H223" s="41"/>
      <c r="I223" s="41"/>
      <c r="J223" s="41" t="str">
        <f t="shared" si="3"/>
        <v/>
      </c>
    </row>
    <row r="224">
      <c r="A224" s="41"/>
      <c r="B224" s="41"/>
      <c r="C224" s="41"/>
      <c r="D224" s="41"/>
      <c r="E224" s="30" t="str">
        <f t="shared" si="1"/>
        <v/>
      </c>
      <c r="F224" s="42" t="str">
        <f t="shared" si="2"/>
        <v/>
      </c>
      <c r="G224" s="40" t="b">
        <v>0</v>
      </c>
      <c r="H224" s="41"/>
      <c r="I224" s="41"/>
      <c r="J224" s="41" t="str">
        <f t="shared" si="3"/>
        <v/>
      </c>
    </row>
    <row r="225">
      <c r="A225" s="41"/>
      <c r="B225" s="41"/>
      <c r="C225" s="41"/>
      <c r="D225" s="41"/>
      <c r="E225" s="30" t="str">
        <f t="shared" si="1"/>
        <v/>
      </c>
      <c r="F225" s="42" t="str">
        <f t="shared" si="2"/>
        <v/>
      </c>
      <c r="G225" s="40" t="b">
        <v>0</v>
      </c>
      <c r="H225" s="41"/>
      <c r="I225" s="41"/>
      <c r="J225" s="41" t="str">
        <f t="shared" si="3"/>
        <v/>
      </c>
    </row>
    <row r="226">
      <c r="A226" s="41"/>
      <c r="B226" s="41"/>
      <c r="C226" s="41"/>
      <c r="D226" s="41"/>
      <c r="E226" s="30" t="str">
        <f t="shared" si="1"/>
        <v/>
      </c>
      <c r="F226" s="42" t="str">
        <f t="shared" si="2"/>
        <v/>
      </c>
      <c r="G226" s="40" t="b">
        <v>0</v>
      </c>
      <c r="H226" s="41"/>
      <c r="I226" s="41"/>
      <c r="J226" s="41" t="str">
        <f t="shared" si="3"/>
        <v/>
      </c>
    </row>
    <row r="227">
      <c r="A227" s="41"/>
      <c r="B227" s="41"/>
      <c r="C227" s="41"/>
      <c r="D227" s="41"/>
      <c r="E227" s="30" t="str">
        <f t="shared" si="1"/>
        <v/>
      </c>
      <c r="F227" s="42" t="str">
        <f t="shared" si="2"/>
        <v/>
      </c>
      <c r="G227" s="40" t="b">
        <v>0</v>
      </c>
      <c r="H227" s="41"/>
      <c r="I227" s="41"/>
      <c r="J227" s="41" t="str">
        <f t="shared" si="3"/>
        <v/>
      </c>
    </row>
    <row r="228">
      <c r="A228" s="41"/>
      <c r="B228" s="41"/>
      <c r="C228" s="41"/>
      <c r="D228" s="41"/>
      <c r="E228" s="30" t="str">
        <f t="shared" si="1"/>
        <v/>
      </c>
      <c r="F228" s="42" t="str">
        <f t="shared" si="2"/>
        <v/>
      </c>
      <c r="G228" s="40" t="b">
        <v>0</v>
      </c>
      <c r="H228" s="41"/>
      <c r="I228" s="41"/>
      <c r="J228" s="41" t="str">
        <f t="shared" si="3"/>
        <v/>
      </c>
    </row>
    <row r="229">
      <c r="A229" s="41"/>
      <c r="B229" s="41"/>
      <c r="C229" s="41"/>
      <c r="D229" s="41"/>
      <c r="E229" s="30" t="str">
        <f t="shared" si="1"/>
        <v/>
      </c>
      <c r="F229" s="42" t="str">
        <f t="shared" si="2"/>
        <v/>
      </c>
      <c r="G229" s="40" t="b">
        <v>0</v>
      </c>
      <c r="H229" s="41"/>
      <c r="I229" s="41"/>
      <c r="J229" s="41" t="str">
        <f t="shared" si="3"/>
        <v/>
      </c>
    </row>
    <row r="230">
      <c r="A230" s="41"/>
      <c r="B230" s="41"/>
      <c r="C230" s="41"/>
      <c r="D230" s="41"/>
      <c r="E230" s="30" t="str">
        <f t="shared" si="1"/>
        <v/>
      </c>
      <c r="F230" s="42" t="str">
        <f t="shared" si="2"/>
        <v/>
      </c>
      <c r="G230" s="40" t="b">
        <v>0</v>
      </c>
      <c r="H230" s="41"/>
      <c r="I230" s="41"/>
      <c r="J230" s="41" t="str">
        <f t="shared" si="3"/>
        <v/>
      </c>
    </row>
    <row r="231">
      <c r="A231" s="41"/>
      <c r="B231" s="41"/>
      <c r="C231" s="41"/>
      <c r="D231" s="41"/>
      <c r="E231" s="30" t="str">
        <f t="shared" si="1"/>
        <v/>
      </c>
      <c r="F231" s="42" t="str">
        <f t="shared" si="2"/>
        <v/>
      </c>
      <c r="G231" s="40" t="b">
        <v>0</v>
      </c>
      <c r="H231" s="41"/>
      <c r="I231" s="41"/>
      <c r="J231" s="41" t="str">
        <f t="shared" si="3"/>
        <v/>
      </c>
    </row>
    <row r="232">
      <c r="A232" s="41"/>
      <c r="B232" s="41"/>
      <c r="C232" s="41"/>
      <c r="D232" s="41"/>
      <c r="E232" s="30" t="str">
        <f t="shared" si="1"/>
        <v/>
      </c>
      <c r="F232" s="42" t="str">
        <f t="shared" si="2"/>
        <v/>
      </c>
      <c r="G232" s="40" t="b">
        <v>0</v>
      </c>
      <c r="H232" s="41"/>
      <c r="I232" s="41"/>
      <c r="J232" s="41" t="str">
        <f t="shared" si="3"/>
        <v/>
      </c>
    </row>
    <row r="233">
      <c r="A233" s="41"/>
      <c r="B233" s="41"/>
      <c r="C233" s="41"/>
      <c r="D233" s="41"/>
      <c r="E233" s="30" t="str">
        <f t="shared" si="1"/>
        <v/>
      </c>
      <c r="F233" s="42" t="str">
        <f t="shared" si="2"/>
        <v/>
      </c>
      <c r="G233" s="40" t="b">
        <v>0</v>
      </c>
      <c r="H233" s="41"/>
      <c r="I233" s="41"/>
      <c r="J233" s="41" t="str">
        <f t="shared" si="3"/>
        <v/>
      </c>
    </row>
    <row r="234">
      <c r="A234" s="41"/>
      <c r="B234" s="41"/>
      <c r="C234" s="41"/>
      <c r="D234" s="41"/>
      <c r="E234" s="30" t="str">
        <f t="shared" si="1"/>
        <v/>
      </c>
      <c r="F234" s="42" t="str">
        <f t="shared" si="2"/>
        <v/>
      </c>
      <c r="G234" s="40" t="b">
        <v>0</v>
      </c>
      <c r="H234" s="41"/>
      <c r="I234" s="41"/>
      <c r="J234" s="41" t="str">
        <f t="shared" si="3"/>
        <v/>
      </c>
    </row>
    <row r="235">
      <c r="A235" s="41"/>
      <c r="B235" s="41"/>
      <c r="C235" s="41"/>
      <c r="D235" s="41"/>
      <c r="E235" s="30" t="str">
        <f t="shared" si="1"/>
        <v/>
      </c>
      <c r="F235" s="42" t="str">
        <f t="shared" si="2"/>
        <v/>
      </c>
      <c r="G235" s="40" t="b">
        <v>0</v>
      </c>
      <c r="H235" s="41"/>
      <c r="I235" s="41"/>
      <c r="J235" s="41" t="str">
        <f t="shared" si="3"/>
        <v/>
      </c>
    </row>
    <row r="236">
      <c r="A236" s="41"/>
      <c r="B236" s="41"/>
      <c r="C236" s="41"/>
      <c r="D236" s="41"/>
      <c r="E236" s="30" t="str">
        <f t="shared" si="1"/>
        <v/>
      </c>
      <c r="F236" s="42" t="str">
        <f t="shared" si="2"/>
        <v/>
      </c>
      <c r="G236" s="40" t="b">
        <v>0</v>
      </c>
      <c r="H236" s="41"/>
      <c r="I236" s="41"/>
      <c r="J236" s="41" t="str">
        <f t="shared" si="3"/>
        <v/>
      </c>
    </row>
    <row r="237">
      <c r="A237" s="41"/>
      <c r="B237" s="41"/>
      <c r="C237" s="41"/>
      <c r="D237" s="41"/>
      <c r="E237" s="30" t="str">
        <f t="shared" si="1"/>
        <v/>
      </c>
      <c r="F237" s="42" t="str">
        <f t="shared" si="2"/>
        <v/>
      </c>
      <c r="G237" s="40" t="b">
        <v>0</v>
      </c>
      <c r="H237" s="41"/>
      <c r="I237" s="41"/>
      <c r="J237" s="41" t="str">
        <f t="shared" si="3"/>
        <v/>
      </c>
    </row>
    <row r="238">
      <c r="A238" s="41"/>
      <c r="B238" s="41"/>
      <c r="C238" s="41"/>
      <c r="D238" s="41"/>
      <c r="E238" s="30" t="str">
        <f t="shared" si="1"/>
        <v/>
      </c>
      <c r="F238" s="42" t="str">
        <f t="shared" si="2"/>
        <v/>
      </c>
      <c r="G238" s="40" t="b">
        <v>0</v>
      </c>
      <c r="H238" s="41"/>
      <c r="I238" s="41"/>
      <c r="J238" s="41" t="str">
        <f t="shared" si="3"/>
        <v/>
      </c>
    </row>
    <row r="239">
      <c r="A239" s="41"/>
      <c r="B239" s="41"/>
      <c r="C239" s="41"/>
      <c r="D239" s="41"/>
      <c r="E239" s="30" t="str">
        <f t="shared" si="1"/>
        <v/>
      </c>
      <c r="F239" s="42" t="str">
        <f t="shared" si="2"/>
        <v/>
      </c>
      <c r="G239" s="40" t="b">
        <v>0</v>
      </c>
      <c r="H239" s="41"/>
      <c r="I239" s="41"/>
      <c r="J239" s="41" t="str">
        <f t="shared" si="3"/>
        <v/>
      </c>
    </row>
    <row r="240">
      <c r="A240" s="41"/>
      <c r="B240" s="41"/>
      <c r="C240" s="41"/>
      <c r="D240" s="41"/>
      <c r="E240" s="30" t="str">
        <f t="shared" si="1"/>
        <v/>
      </c>
      <c r="F240" s="42" t="str">
        <f t="shared" si="2"/>
        <v/>
      </c>
      <c r="G240" s="40" t="b">
        <v>0</v>
      </c>
      <c r="H240" s="41"/>
      <c r="I240" s="41"/>
      <c r="J240" s="41" t="str">
        <f t="shared" si="3"/>
        <v/>
      </c>
    </row>
    <row r="241">
      <c r="A241" s="41"/>
      <c r="B241" s="41"/>
      <c r="C241" s="41"/>
      <c r="D241" s="41"/>
      <c r="E241" s="30" t="str">
        <f t="shared" si="1"/>
        <v/>
      </c>
      <c r="F241" s="42" t="str">
        <f t="shared" si="2"/>
        <v/>
      </c>
      <c r="G241" s="40" t="b">
        <v>0</v>
      </c>
      <c r="H241" s="41"/>
      <c r="I241" s="41"/>
      <c r="J241" s="41" t="str">
        <f t="shared" si="3"/>
        <v/>
      </c>
    </row>
    <row r="242">
      <c r="A242" s="41"/>
      <c r="B242" s="41"/>
      <c r="C242" s="41"/>
      <c r="D242" s="41"/>
      <c r="E242" s="30" t="str">
        <f t="shared" si="1"/>
        <v/>
      </c>
      <c r="F242" s="42" t="str">
        <f t="shared" si="2"/>
        <v/>
      </c>
      <c r="G242" s="40" t="b">
        <v>0</v>
      </c>
      <c r="H242" s="41"/>
      <c r="I242" s="41"/>
      <c r="J242" s="41" t="str">
        <f t="shared" si="3"/>
        <v/>
      </c>
    </row>
    <row r="243">
      <c r="A243" s="41"/>
      <c r="B243" s="41"/>
      <c r="C243" s="41"/>
      <c r="D243" s="41"/>
      <c r="E243" s="30" t="str">
        <f t="shared" si="1"/>
        <v/>
      </c>
      <c r="F243" s="42" t="str">
        <f t="shared" si="2"/>
        <v/>
      </c>
      <c r="G243" s="40" t="b">
        <v>0</v>
      </c>
      <c r="H243" s="41"/>
      <c r="I243" s="41"/>
      <c r="J243" s="41" t="str">
        <f t="shared" si="3"/>
        <v/>
      </c>
    </row>
    <row r="244">
      <c r="A244" s="41"/>
      <c r="B244" s="41"/>
      <c r="C244" s="41"/>
      <c r="D244" s="41"/>
      <c r="E244" s="30" t="str">
        <f t="shared" si="1"/>
        <v/>
      </c>
      <c r="F244" s="42" t="str">
        <f t="shared" si="2"/>
        <v/>
      </c>
      <c r="G244" s="40" t="b">
        <v>0</v>
      </c>
      <c r="H244" s="41"/>
      <c r="I244" s="41"/>
      <c r="J244" s="41" t="str">
        <f t="shared" si="3"/>
        <v/>
      </c>
    </row>
    <row r="245">
      <c r="A245" s="41"/>
      <c r="B245" s="41"/>
      <c r="C245" s="41"/>
      <c r="D245" s="41"/>
      <c r="E245" s="30" t="str">
        <f t="shared" si="1"/>
        <v/>
      </c>
      <c r="F245" s="42" t="str">
        <f t="shared" si="2"/>
        <v/>
      </c>
      <c r="G245" s="40" t="b">
        <v>0</v>
      </c>
      <c r="H245" s="41"/>
      <c r="I245" s="41"/>
      <c r="J245" s="41" t="str">
        <f t="shared" si="3"/>
        <v/>
      </c>
    </row>
    <row r="246">
      <c r="A246" s="41"/>
      <c r="B246" s="41"/>
      <c r="C246" s="41"/>
      <c r="D246" s="41"/>
      <c r="E246" s="30" t="str">
        <f t="shared" si="1"/>
        <v/>
      </c>
      <c r="F246" s="42" t="str">
        <f t="shared" si="2"/>
        <v/>
      </c>
      <c r="G246" s="40" t="b">
        <v>0</v>
      </c>
      <c r="H246" s="41"/>
      <c r="I246" s="41"/>
      <c r="J246" s="41" t="str">
        <f t="shared" si="3"/>
        <v/>
      </c>
    </row>
    <row r="247">
      <c r="A247" s="41"/>
      <c r="B247" s="41"/>
      <c r="C247" s="41"/>
      <c r="D247" s="41"/>
      <c r="E247" s="30" t="str">
        <f t="shared" si="1"/>
        <v/>
      </c>
      <c r="F247" s="42" t="str">
        <f t="shared" si="2"/>
        <v/>
      </c>
      <c r="G247" s="40" t="b">
        <v>0</v>
      </c>
      <c r="H247" s="41"/>
      <c r="I247" s="41"/>
      <c r="J247" s="41" t="str">
        <f t="shared" si="3"/>
        <v/>
      </c>
    </row>
    <row r="248">
      <c r="A248" s="41"/>
      <c r="B248" s="41"/>
      <c r="C248" s="41"/>
      <c r="D248" s="41"/>
      <c r="E248" s="30" t="str">
        <f t="shared" si="1"/>
        <v/>
      </c>
      <c r="F248" s="42" t="str">
        <f t="shared" si="2"/>
        <v/>
      </c>
      <c r="G248" s="40" t="b">
        <v>0</v>
      </c>
      <c r="H248" s="41"/>
      <c r="I248" s="41"/>
      <c r="J248" s="41" t="str">
        <f t="shared" si="3"/>
        <v/>
      </c>
    </row>
    <row r="249">
      <c r="A249" s="41"/>
      <c r="B249" s="41"/>
      <c r="C249" s="41"/>
      <c r="D249" s="41"/>
      <c r="E249" s="30" t="str">
        <f t="shared" si="1"/>
        <v/>
      </c>
      <c r="F249" s="42" t="str">
        <f t="shared" si="2"/>
        <v/>
      </c>
      <c r="G249" s="40" t="b">
        <v>0</v>
      </c>
      <c r="H249" s="41"/>
      <c r="I249" s="41"/>
      <c r="J249" s="41" t="str">
        <f t="shared" si="3"/>
        <v/>
      </c>
    </row>
    <row r="250">
      <c r="A250" s="41"/>
      <c r="B250" s="41"/>
      <c r="C250" s="41"/>
      <c r="D250" s="41"/>
      <c r="E250" s="30" t="str">
        <f t="shared" si="1"/>
        <v/>
      </c>
      <c r="F250" s="42" t="str">
        <f t="shared" si="2"/>
        <v/>
      </c>
      <c r="G250" s="40" t="b">
        <v>0</v>
      </c>
      <c r="H250" s="41"/>
      <c r="I250" s="41"/>
      <c r="J250" s="41" t="str">
        <f t="shared" si="3"/>
        <v/>
      </c>
    </row>
    <row r="251">
      <c r="A251" s="41"/>
      <c r="B251" s="41"/>
      <c r="C251" s="41"/>
      <c r="D251" s="41"/>
      <c r="E251" s="30" t="str">
        <f t="shared" si="1"/>
        <v/>
      </c>
      <c r="F251" s="42" t="str">
        <f t="shared" si="2"/>
        <v/>
      </c>
      <c r="G251" s="40" t="b">
        <v>0</v>
      </c>
      <c r="H251" s="41"/>
      <c r="I251" s="41"/>
      <c r="J251" s="41" t="str">
        <f t="shared" si="3"/>
        <v/>
      </c>
    </row>
    <row r="252">
      <c r="A252" s="41"/>
      <c r="B252" s="41"/>
      <c r="C252" s="41"/>
      <c r="D252" s="41"/>
      <c r="E252" s="30" t="str">
        <f t="shared" si="1"/>
        <v/>
      </c>
      <c r="F252" s="42" t="str">
        <f t="shared" si="2"/>
        <v/>
      </c>
      <c r="G252" s="40" t="b">
        <v>0</v>
      </c>
      <c r="H252" s="41"/>
      <c r="I252" s="41"/>
      <c r="J252" s="41" t="str">
        <f t="shared" si="3"/>
        <v/>
      </c>
    </row>
    <row r="253">
      <c r="A253" s="41"/>
      <c r="B253" s="41"/>
      <c r="C253" s="41"/>
      <c r="D253" s="41"/>
      <c r="E253" s="30" t="str">
        <f t="shared" si="1"/>
        <v/>
      </c>
      <c r="F253" s="42" t="str">
        <f t="shared" si="2"/>
        <v/>
      </c>
      <c r="G253" s="40" t="b">
        <v>0</v>
      </c>
      <c r="H253" s="41"/>
      <c r="I253" s="41"/>
      <c r="J253" s="41" t="str">
        <f t="shared" si="3"/>
        <v/>
      </c>
    </row>
    <row r="254">
      <c r="A254" s="41"/>
      <c r="B254" s="41"/>
      <c r="C254" s="41"/>
      <c r="D254" s="41"/>
      <c r="E254" s="30" t="str">
        <f t="shared" si="1"/>
        <v/>
      </c>
      <c r="F254" s="42" t="str">
        <f t="shared" si="2"/>
        <v/>
      </c>
      <c r="G254" s="40" t="b">
        <v>0</v>
      </c>
      <c r="H254" s="41"/>
      <c r="I254" s="41"/>
      <c r="J254" s="41" t="str">
        <f t="shared" si="3"/>
        <v/>
      </c>
    </row>
    <row r="255">
      <c r="A255" s="41"/>
      <c r="B255" s="41"/>
      <c r="C255" s="41"/>
      <c r="D255" s="41"/>
      <c r="E255" s="30" t="str">
        <f t="shared" si="1"/>
        <v/>
      </c>
      <c r="F255" s="42" t="str">
        <f t="shared" si="2"/>
        <v/>
      </c>
      <c r="G255" s="40" t="b">
        <v>0</v>
      </c>
      <c r="H255" s="41"/>
      <c r="I255" s="41"/>
      <c r="J255" s="41" t="str">
        <f t="shared" si="3"/>
        <v/>
      </c>
    </row>
    <row r="256">
      <c r="A256" s="41"/>
      <c r="B256" s="41"/>
      <c r="C256" s="41"/>
      <c r="D256" s="41"/>
      <c r="E256" s="30" t="str">
        <f t="shared" si="1"/>
        <v/>
      </c>
      <c r="F256" s="42" t="str">
        <f t="shared" si="2"/>
        <v/>
      </c>
      <c r="G256" s="40" t="b">
        <v>0</v>
      </c>
      <c r="H256" s="41"/>
      <c r="I256" s="41"/>
      <c r="J256" s="41" t="str">
        <f t="shared" si="3"/>
        <v/>
      </c>
    </row>
    <row r="257">
      <c r="A257" s="41"/>
      <c r="B257" s="41"/>
      <c r="C257" s="41"/>
      <c r="D257" s="41"/>
      <c r="E257" s="30" t="str">
        <f t="shared" si="1"/>
        <v/>
      </c>
      <c r="F257" s="42" t="str">
        <f t="shared" si="2"/>
        <v/>
      </c>
      <c r="G257" s="40" t="b">
        <v>0</v>
      </c>
      <c r="H257" s="41"/>
      <c r="I257" s="41"/>
      <c r="J257" s="41" t="str">
        <f t="shared" si="3"/>
        <v/>
      </c>
    </row>
    <row r="258">
      <c r="A258" s="41"/>
      <c r="B258" s="41"/>
      <c r="C258" s="41"/>
      <c r="D258" s="41"/>
      <c r="E258" s="30" t="str">
        <f t="shared" si="1"/>
        <v/>
      </c>
      <c r="F258" s="42" t="str">
        <f t="shared" si="2"/>
        <v/>
      </c>
      <c r="G258" s="40" t="b">
        <v>0</v>
      </c>
      <c r="H258" s="41"/>
      <c r="I258" s="41"/>
      <c r="J258" s="41" t="str">
        <f t="shared" si="3"/>
        <v/>
      </c>
    </row>
    <row r="259">
      <c r="A259" s="41"/>
      <c r="B259" s="41"/>
      <c r="C259" s="41"/>
      <c r="D259" s="41"/>
      <c r="E259" s="30" t="str">
        <f t="shared" si="1"/>
        <v/>
      </c>
      <c r="F259" s="42" t="str">
        <f t="shared" si="2"/>
        <v/>
      </c>
      <c r="G259" s="40" t="b">
        <v>0</v>
      </c>
      <c r="H259" s="41"/>
      <c r="I259" s="41"/>
      <c r="J259" s="41" t="str">
        <f t="shared" si="3"/>
        <v/>
      </c>
    </row>
    <row r="260">
      <c r="A260" s="41"/>
      <c r="B260" s="41"/>
      <c r="C260" s="41"/>
      <c r="D260" s="41"/>
      <c r="E260" s="30" t="str">
        <f t="shared" si="1"/>
        <v/>
      </c>
      <c r="F260" s="42" t="str">
        <f t="shared" si="2"/>
        <v/>
      </c>
      <c r="G260" s="40" t="b">
        <v>0</v>
      </c>
      <c r="H260" s="41"/>
      <c r="I260" s="41"/>
      <c r="J260" s="41" t="str">
        <f t="shared" si="3"/>
        <v/>
      </c>
    </row>
    <row r="261">
      <c r="A261" s="41"/>
      <c r="B261" s="41"/>
      <c r="C261" s="41"/>
      <c r="D261" s="41"/>
      <c r="E261" s="30" t="str">
        <f t="shared" si="1"/>
        <v/>
      </c>
      <c r="F261" s="42" t="str">
        <f t="shared" si="2"/>
        <v/>
      </c>
      <c r="G261" s="40" t="b">
        <v>0</v>
      </c>
      <c r="H261" s="41"/>
      <c r="I261" s="41"/>
      <c r="J261" s="41" t="str">
        <f t="shared" si="3"/>
        <v/>
      </c>
    </row>
    <row r="262">
      <c r="A262" s="41"/>
      <c r="B262" s="41"/>
      <c r="C262" s="41"/>
      <c r="D262" s="41"/>
      <c r="E262" s="30" t="str">
        <f t="shared" si="1"/>
        <v/>
      </c>
      <c r="F262" s="42" t="str">
        <f t="shared" si="2"/>
        <v/>
      </c>
      <c r="G262" s="40" t="b">
        <v>0</v>
      </c>
      <c r="H262" s="41"/>
      <c r="I262" s="41"/>
      <c r="J262" s="41" t="str">
        <f t="shared" si="3"/>
        <v/>
      </c>
    </row>
    <row r="263">
      <c r="A263" s="41"/>
      <c r="B263" s="41"/>
      <c r="C263" s="41"/>
      <c r="D263" s="41"/>
      <c r="E263" s="30" t="str">
        <f t="shared" si="1"/>
        <v/>
      </c>
      <c r="F263" s="42" t="str">
        <f t="shared" si="2"/>
        <v/>
      </c>
      <c r="G263" s="40" t="b">
        <v>0</v>
      </c>
      <c r="H263" s="41"/>
      <c r="I263" s="41"/>
      <c r="J263" s="41" t="str">
        <f t="shared" si="3"/>
        <v/>
      </c>
    </row>
    <row r="264">
      <c r="A264" s="41"/>
      <c r="B264" s="41"/>
      <c r="C264" s="41"/>
      <c r="D264" s="41"/>
      <c r="E264" s="30" t="str">
        <f t="shared" si="1"/>
        <v/>
      </c>
      <c r="F264" s="42" t="str">
        <f t="shared" si="2"/>
        <v/>
      </c>
      <c r="G264" s="40" t="b">
        <v>0</v>
      </c>
      <c r="H264" s="41"/>
      <c r="I264" s="41"/>
      <c r="J264" s="41" t="str">
        <f t="shared" si="3"/>
        <v/>
      </c>
    </row>
    <row r="265">
      <c r="A265" s="41"/>
      <c r="B265" s="41"/>
      <c r="C265" s="41"/>
      <c r="D265" s="41"/>
      <c r="E265" s="30" t="str">
        <f t="shared" si="1"/>
        <v/>
      </c>
      <c r="F265" s="42" t="str">
        <f t="shared" si="2"/>
        <v/>
      </c>
      <c r="G265" s="40" t="b">
        <v>0</v>
      </c>
      <c r="H265" s="41"/>
      <c r="I265" s="41"/>
      <c r="J265" s="41" t="str">
        <f t="shared" si="3"/>
        <v/>
      </c>
    </row>
    <row r="266">
      <c r="A266" s="41"/>
      <c r="B266" s="41"/>
      <c r="C266" s="41"/>
      <c r="D266" s="41"/>
      <c r="E266" s="30" t="str">
        <f t="shared" si="1"/>
        <v/>
      </c>
      <c r="F266" s="42" t="str">
        <f t="shared" si="2"/>
        <v/>
      </c>
      <c r="G266" s="40" t="b">
        <v>0</v>
      </c>
      <c r="H266" s="41"/>
      <c r="I266" s="41"/>
      <c r="J266" s="41" t="str">
        <f t="shared" si="3"/>
        <v/>
      </c>
    </row>
    <row r="267">
      <c r="A267" s="41"/>
      <c r="B267" s="41"/>
      <c r="C267" s="41"/>
      <c r="D267" s="41"/>
      <c r="E267" s="30" t="str">
        <f t="shared" si="1"/>
        <v/>
      </c>
      <c r="F267" s="42" t="str">
        <f t="shared" si="2"/>
        <v/>
      </c>
      <c r="G267" s="40" t="b">
        <v>0</v>
      </c>
      <c r="H267" s="41"/>
      <c r="I267" s="41"/>
      <c r="J267" s="41" t="str">
        <f t="shared" si="3"/>
        <v/>
      </c>
    </row>
    <row r="268">
      <c r="A268" s="41"/>
      <c r="B268" s="41"/>
      <c r="C268" s="41"/>
      <c r="D268" s="41"/>
      <c r="E268" s="30" t="str">
        <f t="shared" si="1"/>
        <v/>
      </c>
      <c r="F268" s="42" t="str">
        <f t="shared" si="2"/>
        <v/>
      </c>
      <c r="G268" s="40" t="b">
        <v>0</v>
      </c>
      <c r="H268" s="41"/>
      <c r="I268" s="41"/>
      <c r="J268" s="41" t="str">
        <f t="shared" si="3"/>
        <v/>
      </c>
    </row>
    <row r="269">
      <c r="A269" s="41"/>
      <c r="B269" s="41"/>
      <c r="C269" s="41"/>
      <c r="D269" s="41"/>
      <c r="E269" s="30" t="str">
        <f t="shared" si="1"/>
        <v/>
      </c>
      <c r="F269" s="42" t="str">
        <f t="shared" si="2"/>
        <v/>
      </c>
      <c r="G269" s="40" t="b">
        <v>0</v>
      </c>
      <c r="H269" s="41"/>
      <c r="I269" s="41"/>
      <c r="J269" s="41" t="str">
        <f t="shared" si="3"/>
        <v/>
      </c>
    </row>
    <row r="270">
      <c r="A270" s="41"/>
      <c r="B270" s="41"/>
      <c r="C270" s="41"/>
      <c r="D270" s="41"/>
      <c r="E270" s="30" t="str">
        <f t="shared" si="1"/>
        <v/>
      </c>
      <c r="F270" s="42" t="str">
        <f t="shared" si="2"/>
        <v/>
      </c>
      <c r="G270" s="40" t="b">
        <v>0</v>
      </c>
      <c r="H270" s="41"/>
      <c r="I270" s="41"/>
      <c r="J270" s="41" t="str">
        <f t="shared" si="3"/>
        <v/>
      </c>
    </row>
    <row r="271">
      <c r="A271" s="41"/>
      <c r="B271" s="41"/>
      <c r="C271" s="41"/>
      <c r="D271" s="41"/>
      <c r="E271" s="30" t="str">
        <f t="shared" si="1"/>
        <v/>
      </c>
      <c r="F271" s="42" t="str">
        <f t="shared" si="2"/>
        <v/>
      </c>
      <c r="G271" s="40" t="b">
        <v>0</v>
      </c>
      <c r="H271" s="41"/>
      <c r="I271" s="41"/>
      <c r="J271" s="41" t="str">
        <f t="shared" si="3"/>
        <v/>
      </c>
    </row>
    <row r="272">
      <c r="A272" s="41"/>
      <c r="B272" s="41"/>
      <c r="C272" s="41"/>
      <c r="D272" s="41"/>
      <c r="E272" s="30" t="str">
        <f t="shared" si="1"/>
        <v/>
      </c>
      <c r="F272" s="42" t="str">
        <f t="shared" si="2"/>
        <v/>
      </c>
      <c r="G272" s="40" t="b">
        <v>0</v>
      </c>
      <c r="H272" s="41"/>
      <c r="I272" s="41"/>
      <c r="J272" s="41" t="str">
        <f t="shared" si="3"/>
        <v/>
      </c>
    </row>
    <row r="273">
      <c r="A273" s="41"/>
      <c r="B273" s="41"/>
      <c r="C273" s="41"/>
      <c r="D273" s="41"/>
      <c r="E273" s="30" t="str">
        <f t="shared" si="1"/>
        <v/>
      </c>
      <c r="F273" s="42" t="str">
        <f t="shared" si="2"/>
        <v/>
      </c>
      <c r="G273" s="40" t="b">
        <v>0</v>
      </c>
      <c r="H273" s="41"/>
      <c r="I273" s="41"/>
      <c r="J273" s="41" t="str">
        <f t="shared" si="3"/>
        <v/>
      </c>
    </row>
    <row r="274">
      <c r="A274" s="41"/>
      <c r="B274" s="41"/>
      <c r="C274" s="41"/>
      <c r="D274" s="41"/>
      <c r="E274" s="30" t="str">
        <f t="shared" si="1"/>
        <v/>
      </c>
      <c r="F274" s="42" t="str">
        <f t="shared" si="2"/>
        <v/>
      </c>
      <c r="G274" s="40" t="b">
        <v>0</v>
      </c>
      <c r="H274" s="41"/>
      <c r="I274" s="41"/>
      <c r="J274" s="41" t="str">
        <f t="shared" si="3"/>
        <v/>
      </c>
    </row>
    <row r="275">
      <c r="A275" s="41"/>
      <c r="B275" s="41"/>
      <c r="C275" s="41"/>
      <c r="D275" s="41"/>
      <c r="E275" s="30" t="str">
        <f t="shared" si="1"/>
        <v/>
      </c>
      <c r="F275" s="42" t="str">
        <f t="shared" si="2"/>
        <v/>
      </c>
      <c r="G275" s="40" t="b">
        <v>0</v>
      </c>
      <c r="H275" s="41"/>
      <c r="I275" s="41"/>
      <c r="J275" s="41" t="str">
        <f t="shared" si="3"/>
        <v/>
      </c>
    </row>
    <row r="276">
      <c r="A276" s="41"/>
      <c r="B276" s="41"/>
      <c r="C276" s="41"/>
      <c r="D276" s="41"/>
      <c r="E276" s="30" t="str">
        <f t="shared" si="1"/>
        <v/>
      </c>
      <c r="F276" s="42" t="str">
        <f t="shared" si="2"/>
        <v/>
      </c>
      <c r="G276" s="40" t="b">
        <v>0</v>
      </c>
      <c r="H276" s="41"/>
      <c r="I276" s="41"/>
      <c r="J276" s="41" t="str">
        <f t="shared" si="3"/>
        <v/>
      </c>
    </row>
    <row r="277">
      <c r="A277" s="41"/>
      <c r="B277" s="41"/>
      <c r="C277" s="41"/>
      <c r="D277" s="41"/>
      <c r="E277" s="30" t="str">
        <f t="shared" si="1"/>
        <v/>
      </c>
      <c r="F277" s="42" t="str">
        <f t="shared" si="2"/>
        <v/>
      </c>
      <c r="G277" s="40" t="b">
        <v>0</v>
      </c>
      <c r="H277" s="41"/>
      <c r="I277" s="41"/>
      <c r="J277" s="41" t="str">
        <f t="shared" si="3"/>
        <v/>
      </c>
    </row>
    <row r="278">
      <c r="A278" s="41"/>
      <c r="B278" s="41"/>
      <c r="C278" s="41"/>
      <c r="D278" s="41"/>
      <c r="E278" s="30" t="str">
        <f t="shared" si="1"/>
        <v/>
      </c>
      <c r="F278" s="42" t="str">
        <f t="shared" si="2"/>
        <v/>
      </c>
      <c r="G278" s="40" t="b">
        <v>0</v>
      </c>
      <c r="H278" s="41"/>
      <c r="I278" s="41"/>
      <c r="J278" s="41" t="str">
        <f t="shared" si="3"/>
        <v/>
      </c>
    </row>
    <row r="279">
      <c r="A279" s="41"/>
      <c r="B279" s="41"/>
      <c r="C279" s="41"/>
      <c r="D279" s="41"/>
      <c r="E279" s="30" t="str">
        <f t="shared" si="1"/>
        <v/>
      </c>
      <c r="F279" s="42" t="str">
        <f t="shared" si="2"/>
        <v/>
      </c>
      <c r="G279" s="40" t="b">
        <v>0</v>
      </c>
      <c r="H279" s="41"/>
      <c r="I279" s="41"/>
      <c r="J279" s="41" t="str">
        <f t="shared" si="3"/>
        <v/>
      </c>
    </row>
    <row r="280">
      <c r="A280" s="41"/>
      <c r="B280" s="41"/>
      <c r="C280" s="41"/>
      <c r="D280" s="41"/>
      <c r="E280" s="30" t="str">
        <f t="shared" si="1"/>
        <v/>
      </c>
      <c r="F280" s="42" t="str">
        <f t="shared" si="2"/>
        <v/>
      </c>
      <c r="G280" s="40" t="b">
        <v>0</v>
      </c>
      <c r="H280" s="41"/>
      <c r="I280" s="41"/>
      <c r="J280" s="41" t="str">
        <f t="shared" si="3"/>
        <v/>
      </c>
    </row>
    <row r="281">
      <c r="A281" s="41"/>
      <c r="B281" s="41"/>
      <c r="C281" s="41"/>
      <c r="D281" s="41"/>
      <c r="E281" s="30" t="str">
        <f t="shared" si="1"/>
        <v/>
      </c>
      <c r="F281" s="42" t="str">
        <f t="shared" si="2"/>
        <v/>
      </c>
      <c r="G281" s="40" t="b">
        <v>0</v>
      </c>
      <c r="H281" s="41"/>
      <c r="I281" s="41"/>
      <c r="J281" s="41" t="str">
        <f t="shared" si="3"/>
        <v/>
      </c>
    </row>
    <row r="282">
      <c r="A282" s="41"/>
      <c r="B282" s="41"/>
      <c r="C282" s="41"/>
      <c r="D282" s="41"/>
      <c r="E282" s="30" t="str">
        <f t="shared" si="1"/>
        <v/>
      </c>
      <c r="F282" s="42" t="str">
        <f t="shared" si="2"/>
        <v/>
      </c>
      <c r="G282" s="40" t="b">
        <v>0</v>
      </c>
      <c r="H282" s="41"/>
      <c r="I282" s="41"/>
      <c r="J282" s="41" t="str">
        <f t="shared" si="3"/>
        <v/>
      </c>
    </row>
    <row r="283">
      <c r="A283" s="41"/>
      <c r="B283" s="41"/>
      <c r="C283" s="41"/>
      <c r="D283" s="41"/>
      <c r="E283" s="30" t="str">
        <f t="shared" si="1"/>
        <v/>
      </c>
      <c r="F283" s="42" t="str">
        <f t="shared" si="2"/>
        <v/>
      </c>
      <c r="G283" s="40" t="b">
        <v>0</v>
      </c>
      <c r="H283" s="41"/>
      <c r="I283" s="41"/>
      <c r="J283" s="41" t="str">
        <f t="shared" si="3"/>
        <v/>
      </c>
    </row>
    <row r="284">
      <c r="A284" s="41"/>
      <c r="B284" s="41"/>
      <c r="C284" s="41"/>
      <c r="D284" s="41"/>
      <c r="E284" s="30" t="str">
        <f t="shared" si="1"/>
        <v/>
      </c>
      <c r="F284" s="42" t="str">
        <f t="shared" si="2"/>
        <v/>
      </c>
      <c r="G284" s="40" t="b">
        <v>0</v>
      </c>
      <c r="H284" s="41"/>
      <c r="I284" s="41"/>
      <c r="J284" s="41" t="str">
        <f t="shared" si="3"/>
        <v/>
      </c>
    </row>
    <row r="285">
      <c r="A285" s="41"/>
      <c r="B285" s="41"/>
      <c r="C285" s="41"/>
      <c r="D285" s="41"/>
      <c r="E285" s="30" t="str">
        <f t="shared" si="1"/>
        <v/>
      </c>
      <c r="F285" s="42" t="str">
        <f t="shared" si="2"/>
        <v/>
      </c>
      <c r="G285" s="40" t="b">
        <v>0</v>
      </c>
      <c r="H285" s="41"/>
      <c r="I285" s="41"/>
      <c r="J285" s="41" t="str">
        <f t="shared" si="3"/>
        <v/>
      </c>
    </row>
    <row r="286">
      <c r="A286" s="41"/>
      <c r="B286" s="41"/>
      <c r="C286" s="41"/>
      <c r="D286" s="41"/>
      <c r="E286" s="30" t="str">
        <f t="shared" si="1"/>
        <v/>
      </c>
      <c r="F286" s="42" t="str">
        <f t="shared" si="2"/>
        <v/>
      </c>
      <c r="G286" s="40" t="b">
        <v>0</v>
      </c>
      <c r="H286" s="41"/>
      <c r="I286" s="41"/>
      <c r="J286" s="41" t="str">
        <f t="shared" si="3"/>
        <v/>
      </c>
    </row>
    <row r="287">
      <c r="A287" s="41"/>
      <c r="B287" s="41"/>
      <c r="C287" s="41"/>
      <c r="D287" s="41"/>
      <c r="E287" s="30" t="str">
        <f t="shared" si="1"/>
        <v/>
      </c>
      <c r="F287" s="42" t="str">
        <f t="shared" si="2"/>
        <v/>
      </c>
      <c r="G287" s="40" t="b">
        <v>0</v>
      </c>
      <c r="H287" s="41"/>
      <c r="I287" s="41"/>
      <c r="J287" s="41" t="str">
        <f t="shared" si="3"/>
        <v/>
      </c>
    </row>
    <row r="288">
      <c r="A288" s="41"/>
      <c r="B288" s="41"/>
      <c r="C288" s="41"/>
      <c r="D288" s="41"/>
      <c r="E288" s="30" t="str">
        <f t="shared" si="1"/>
        <v/>
      </c>
      <c r="F288" s="42" t="str">
        <f t="shared" si="2"/>
        <v/>
      </c>
      <c r="G288" s="40" t="b">
        <v>0</v>
      </c>
      <c r="H288" s="41"/>
      <c r="I288" s="41"/>
      <c r="J288" s="41" t="str">
        <f t="shared" si="3"/>
        <v/>
      </c>
    </row>
    <row r="289">
      <c r="A289" s="41"/>
      <c r="B289" s="41"/>
      <c r="C289" s="41"/>
      <c r="D289" s="41"/>
      <c r="E289" s="30" t="str">
        <f t="shared" si="1"/>
        <v/>
      </c>
      <c r="F289" s="42" t="str">
        <f t="shared" si="2"/>
        <v/>
      </c>
      <c r="G289" s="40" t="b">
        <v>0</v>
      </c>
      <c r="H289" s="41"/>
      <c r="I289" s="41"/>
      <c r="J289" s="41" t="str">
        <f t="shared" si="3"/>
        <v/>
      </c>
    </row>
    <row r="290">
      <c r="A290" s="41"/>
      <c r="B290" s="41"/>
      <c r="C290" s="41"/>
      <c r="D290" s="41"/>
      <c r="E290" s="30" t="str">
        <f t="shared" si="1"/>
        <v/>
      </c>
      <c r="F290" s="42" t="str">
        <f t="shared" si="2"/>
        <v/>
      </c>
      <c r="G290" s="40" t="b">
        <v>0</v>
      </c>
      <c r="H290" s="41"/>
      <c r="I290" s="41"/>
      <c r="J290" s="41" t="str">
        <f t="shared" si="3"/>
        <v/>
      </c>
    </row>
    <row r="291">
      <c r="A291" s="41"/>
      <c r="B291" s="41"/>
      <c r="C291" s="41"/>
      <c r="D291" s="41"/>
      <c r="E291" s="30" t="str">
        <f t="shared" si="1"/>
        <v/>
      </c>
      <c r="F291" s="42" t="str">
        <f t="shared" si="2"/>
        <v/>
      </c>
      <c r="G291" s="40" t="b">
        <v>0</v>
      </c>
      <c r="H291" s="41"/>
      <c r="I291" s="41"/>
      <c r="J291" s="41" t="str">
        <f t="shared" si="3"/>
        <v/>
      </c>
    </row>
    <row r="292">
      <c r="A292" s="41"/>
      <c r="B292" s="41"/>
      <c r="C292" s="41"/>
      <c r="D292" s="41"/>
      <c r="E292" s="30" t="str">
        <f t="shared" si="1"/>
        <v/>
      </c>
      <c r="F292" s="42" t="str">
        <f t="shared" si="2"/>
        <v/>
      </c>
      <c r="G292" s="40" t="b">
        <v>0</v>
      </c>
      <c r="H292" s="41"/>
      <c r="I292" s="41"/>
      <c r="J292" s="41" t="str">
        <f t="shared" si="3"/>
        <v/>
      </c>
    </row>
    <row r="293">
      <c r="A293" s="41"/>
      <c r="B293" s="41"/>
      <c r="C293" s="41"/>
      <c r="D293" s="41"/>
      <c r="E293" s="30" t="str">
        <f t="shared" si="1"/>
        <v/>
      </c>
      <c r="F293" s="42" t="str">
        <f t="shared" si="2"/>
        <v/>
      </c>
      <c r="G293" s="40" t="b">
        <v>0</v>
      </c>
      <c r="H293" s="41"/>
      <c r="I293" s="41"/>
      <c r="J293" s="41" t="str">
        <f t="shared" si="3"/>
        <v/>
      </c>
    </row>
    <row r="294">
      <c r="A294" s="41"/>
      <c r="B294" s="41"/>
      <c r="C294" s="41"/>
      <c r="D294" s="41"/>
      <c r="E294" s="30" t="str">
        <f t="shared" si="1"/>
        <v/>
      </c>
      <c r="F294" s="42" t="str">
        <f t="shared" si="2"/>
        <v/>
      </c>
      <c r="G294" s="40" t="b">
        <v>0</v>
      </c>
      <c r="H294" s="41"/>
      <c r="I294" s="41"/>
      <c r="J294" s="41" t="str">
        <f t="shared" si="3"/>
        <v/>
      </c>
    </row>
    <row r="295">
      <c r="A295" s="41"/>
      <c r="B295" s="41"/>
      <c r="C295" s="41"/>
      <c r="D295" s="41"/>
      <c r="E295" s="30" t="str">
        <f t="shared" si="1"/>
        <v/>
      </c>
      <c r="F295" s="42" t="str">
        <f t="shared" si="2"/>
        <v/>
      </c>
      <c r="G295" s="40" t="b">
        <v>0</v>
      </c>
      <c r="H295" s="41"/>
      <c r="I295" s="41"/>
      <c r="J295" s="41" t="str">
        <f t="shared" si="3"/>
        <v/>
      </c>
    </row>
    <row r="296">
      <c r="A296" s="41"/>
      <c r="B296" s="41"/>
      <c r="C296" s="41"/>
      <c r="D296" s="41"/>
      <c r="E296" s="30" t="str">
        <f t="shared" si="1"/>
        <v/>
      </c>
      <c r="F296" s="42" t="str">
        <f t="shared" si="2"/>
        <v/>
      </c>
      <c r="G296" s="40" t="b">
        <v>0</v>
      </c>
      <c r="H296" s="41"/>
      <c r="I296" s="41"/>
      <c r="J296" s="41" t="str">
        <f t="shared" si="3"/>
        <v/>
      </c>
    </row>
    <row r="297">
      <c r="A297" s="41"/>
      <c r="B297" s="41"/>
      <c r="C297" s="41"/>
      <c r="D297" s="41"/>
      <c r="E297" s="30" t="str">
        <f t="shared" si="1"/>
        <v/>
      </c>
      <c r="F297" s="42" t="str">
        <f t="shared" si="2"/>
        <v/>
      </c>
      <c r="G297" s="40" t="b">
        <v>0</v>
      </c>
      <c r="H297" s="41"/>
      <c r="I297" s="41"/>
      <c r="J297" s="41" t="str">
        <f t="shared" si="3"/>
        <v/>
      </c>
    </row>
    <row r="298">
      <c r="A298" s="41"/>
      <c r="B298" s="41"/>
      <c r="C298" s="41"/>
      <c r="D298" s="41"/>
      <c r="E298" s="30" t="str">
        <f t="shared" si="1"/>
        <v/>
      </c>
      <c r="F298" s="42" t="str">
        <f t="shared" si="2"/>
        <v/>
      </c>
      <c r="G298" s="40" t="b">
        <v>0</v>
      </c>
      <c r="H298" s="41"/>
      <c r="I298" s="41"/>
      <c r="J298" s="41" t="str">
        <f t="shared" si="3"/>
        <v/>
      </c>
    </row>
    <row r="299">
      <c r="A299" s="41"/>
      <c r="B299" s="41"/>
      <c r="C299" s="41"/>
      <c r="D299" s="41"/>
      <c r="E299" s="30" t="str">
        <f t="shared" si="1"/>
        <v/>
      </c>
      <c r="F299" s="42" t="str">
        <f t="shared" si="2"/>
        <v/>
      </c>
      <c r="G299" s="40" t="b">
        <v>0</v>
      </c>
      <c r="H299" s="41"/>
      <c r="I299" s="41"/>
      <c r="J299" s="41" t="str">
        <f t="shared" si="3"/>
        <v/>
      </c>
    </row>
    <row r="300">
      <c r="A300" s="41"/>
      <c r="B300" s="41"/>
      <c r="C300" s="41"/>
      <c r="D300" s="41"/>
      <c r="E300" s="30" t="str">
        <f t="shared" si="1"/>
        <v/>
      </c>
      <c r="F300" s="42" t="str">
        <f t="shared" si="2"/>
        <v/>
      </c>
      <c r="G300" s="40" t="b">
        <v>0</v>
      </c>
      <c r="H300" s="41"/>
      <c r="I300" s="41"/>
      <c r="J300" s="41" t="str">
        <f t="shared" si="3"/>
        <v/>
      </c>
    </row>
    <row r="301">
      <c r="A301" s="41"/>
      <c r="B301" s="41"/>
      <c r="C301" s="41"/>
      <c r="D301" s="41"/>
      <c r="E301" s="30" t="str">
        <f t="shared" si="1"/>
        <v/>
      </c>
      <c r="F301" s="42" t="str">
        <f t="shared" si="2"/>
        <v/>
      </c>
      <c r="G301" s="40" t="b">
        <v>0</v>
      </c>
      <c r="H301" s="41"/>
      <c r="I301" s="41"/>
      <c r="J301" s="41" t="str">
        <f t="shared" si="3"/>
        <v/>
      </c>
    </row>
    <row r="302">
      <c r="A302" s="41"/>
      <c r="B302" s="41"/>
      <c r="C302" s="41"/>
      <c r="D302" s="41"/>
      <c r="E302" s="30" t="str">
        <f t="shared" si="1"/>
        <v/>
      </c>
      <c r="F302" s="42" t="str">
        <f t="shared" si="2"/>
        <v/>
      </c>
      <c r="G302" s="40" t="b">
        <v>0</v>
      </c>
      <c r="H302" s="41"/>
      <c r="I302" s="41"/>
      <c r="J302" s="41" t="str">
        <f t="shared" si="3"/>
        <v/>
      </c>
    </row>
    <row r="303">
      <c r="A303" s="41"/>
      <c r="B303" s="41"/>
      <c r="C303" s="41"/>
      <c r="D303" s="41"/>
      <c r="E303" s="30" t="str">
        <f t="shared" si="1"/>
        <v/>
      </c>
      <c r="F303" s="42" t="str">
        <f t="shared" si="2"/>
        <v/>
      </c>
      <c r="G303" s="40" t="b">
        <v>0</v>
      </c>
      <c r="H303" s="41"/>
      <c r="I303" s="41"/>
      <c r="J303" s="41" t="str">
        <f t="shared" si="3"/>
        <v/>
      </c>
    </row>
    <row r="304">
      <c r="A304" s="41"/>
      <c r="B304" s="41"/>
      <c r="C304" s="41"/>
      <c r="D304" s="41"/>
      <c r="E304" s="30" t="str">
        <f t="shared" si="1"/>
        <v/>
      </c>
      <c r="F304" s="42" t="str">
        <f t="shared" si="2"/>
        <v/>
      </c>
      <c r="G304" s="40" t="b">
        <v>0</v>
      </c>
      <c r="H304" s="41"/>
      <c r="I304" s="41"/>
      <c r="J304" s="41" t="str">
        <f t="shared" si="3"/>
        <v/>
      </c>
    </row>
    <row r="305">
      <c r="A305" s="41"/>
      <c r="B305" s="41"/>
      <c r="C305" s="41"/>
      <c r="D305" s="41"/>
      <c r="E305" s="30" t="str">
        <f t="shared" si="1"/>
        <v/>
      </c>
      <c r="F305" s="42" t="str">
        <f t="shared" si="2"/>
        <v/>
      </c>
      <c r="G305" s="40" t="b">
        <v>0</v>
      </c>
      <c r="H305" s="41"/>
      <c r="I305" s="41"/>
      <c r="J305" s="41" t="str">
        <f t="shared" si="3"/>
        <v/>
      </c>
    </row>
    <row r="306">
      <c r="A306" s="41"/>
      <c r="B306" s="41"/>
      <c r="C306" s="41"/>
      <c r="D306" s="41"/>
      <c r="E306" s="30" t="str">
        <f t="shared" si="1"/>
        <v/>
      </c>
      <c r="F306" s="42" t="str">
        <f t="shared" si="2"/>
        <v/>
      </c>
      <c r="G306" s="40" t="b">
        <v>0</v>
      </c>
      <c r="H306" s="41"/>
      <c r="I306" s="41"/>
      <c r="J306" s="41" t="str">
        <f t="shared" si="3"/>
        <v/>
      </c>
    </row>
    <row r="307">
      <c r="A307" s="41"/>
      <c r="B307" s="41"/>
      <c r="C307" s="41"/>
      <c r="D307" s="41"/>
      <c r="E307" s="30" t="str">
        <f t="shared" si="1"/>
        <v/>
      </c>
      <c r="F307" s="42" t="str">
        <f t="shared" si="2"/>
        <v/>
      </c>
      <c r="G307" s="40" t="b">
        <v>0</v>
      </c>
      <c r="H307" s="41"/>
      <c r="I307" s="41"/>
      <c r="J307" s="41" t="str">
        <f t="shared" si="3"/>
        <v/>
      </c>
    </row>
    <row r="308">
      <c r="A308" s="41"/>
      <c r="B308" s="41"/>
      <c r="C308" s="41"/>
      <c r="D308" s="41"/>
      <c r="E308" s="30" t="str">
        <f t="shared" si="1"/>
        <v/>
      </c>
      <c r="F308" s="42" t="str">
        <f t="shared" si="2"/>
        <v/>
      </c>
      <c r="G308" s="40" t="b">
        <v>0</v>
      </c>
      <c r="H308" s="41"/>
      <c r="I308" s="41"/>
      <c r="J308" s="41" t="str">
        <f t="shared" si="3"/>
        <v/>
      </c>
    </row>
    <row r="309">
      <c r="A309" s="41"/>
      <c r="B309" s="41"/>
      <c r="C309" s="41"/>
      <c r="D309" s="41"/>
      <c r="E309" s="30" t="str">
        <f t="shared" si="1"/>
        <v/>
      </c>
      <c r="F309" s="42" t="str">
        <f t="shared" si="2"/>
        <v/>
      </c>
      <c r="G309" s="40" t="b">
        <v>0</v>
      </c>
      <c r="H309" s="41"/>
      <c r="I309" s="41"/>
      <c r="J309" s="41" t="str">
        <f t="shared" si="3"/>
        <v/>
      </c>
    </row>
    <row r="310">
      <c r="A310" s="41"/>
      <c r="B310" s="41"/>
      <c r="C310" s="41"/>
      <c r="D310" s="41"/>
      <c r="E310" s="30" t="str">
        <f t="shared" si="1"/>
        <v/>
      </c>
      <c r="F310" s="42" t="str">
        <f t="shared" si="2"/>
        <v/>
      </c>
      <c r="G310" s="40" t="b">
        <v>0</v>
      </c>
      <c r="H310" s="41"/>
      <c r="I310" s="41"/>
      <c r="J310" s="41" t="str">
        <f t="shared" si="3"/>
        <v/>
      </c>
    </row>
    <row r="311">
      <c r="A311" s="41"/>
      <c r="B311" s="41"/>
      <c r="C311" s="41"/>
      <c r="D311" s="41"/>
      <c r="E311" s="30" t="str">
        <f t="shared" si="1"/>
        <v/>
      </c>
      <c r="F311" s="42" t="str">
        <f t="shared" si="2"/>
        <v/>
      </c>
      <c r="G311" s="40" t="b">
        <v>0</v>
      </c>
      <c r="H311" s="41"/>
      <c r="I311" s="41"/>
      <c r="J311" s="41" t="str">
        <f t="shared" si="3"/>
        <v/>
      </c>
    </row>
    <row r="312">
      <c r="A312" s="41"/>
      <c r="B312" s="41"/>
      <c r="C312" s="41"/>
      <c r="D312" s="41"/>
      <c r="E312" s="30" t="str">
        <f t="shared" si="1"/>
        <v/>
      </c>
      <c r="F312" s="42" t="str">
        <f t="shared" si="2"/>
        <v/>
      </c>
      <c r="G312" s="40" t="b">
        <v>0</v>
      </c>
      <c r="H312" s="41"/>
      <c r="I312" s="41"/>
      <c r="J312" s="41" t="str">
        <f t="shared" si="3"/>
        <v/>
      </c>
    </row>
    <row r="313">
      <c r="A313" s="41"/>
      <c r="B313" s="41"/>
      <c r="C313" s="41"/>
      <c r="D313" s="41"/>
      <c r="E313" s="30" t="str">
        <f t="shared" si="1"/>
        <v/>
      </c>
      <c r="F313" s="42" t="str">
        <f t="shared" si="2"/>
        <v/>
      </c>
      <c r="G313" s="40" t="b">
        <v>0</v>
      </c>
      <c r="H313" s="41"/>
      <c r="I313" s="41"/>
      <c r="J313" s="41" t="str">
        <f t="shared" si="3"/>
        <v/>
      </c>
    </row>
    <row r="314">
      <c r="A314" s="41"/>
      <c r="B314" s="41"/>
      <c r="C314" s="41"/>
      <c r="D314" s="41"/>
      <c r="E314" s="30" t="str">
        <f t="shared" si="1"/>
        <v/>
      </c>
      <c r="F314" s="42" t="str">
        <f t="shared" si="2"/>
        <v/>
      </c>
      <c r="G314" s="40" t="b">
        <v>0</v>
      </c>
      <c r="H314" s="41"/>
      <c r="I314" s="41"/>
      <c r="J314" s="41" t="str">
        <f t="shared" si="3"/>
        <v/>
      </c>
    </row>
    <row r="315">
      <c r="A315" s="41"/>
      <c r="B315" s="41"/>
      <c r="C315" s="41"/>
      <c r="D315" s="41"/>
      <c r="E315" s="30" t="str">
        <f t="shared" si="1"/>
        <v/>
      </c>
      <c r="F315" s="42" t="str">
        <f t="shared" si="2"/>
        <v/>
      </c>
      <c r="G315" s="40" t="b">
        <v>0</v>
      </c>
      <c r="H315" s="41"/>
      <c r="I315" s="41"/>
      <c r="J315" s="41" t="str">
        <f t="shared" si="3"/>
        <v/>
      </c>
    </row>
    <row r="316">
      <c r="A316" s="41"/>
      <c r="B316" s="41"/>
      <c r="C316" s="41"/>
      <c r="D316" s="41"/>
      <c r="E316" s="30" t="str">
        <f t="shared" si="1"/>
        <v/>
      </c>
      <c r="F316" s="42" t="str">
        <f t="shared" si="2"/>
        <v/>
      </c>
      <c r="G316" s="40" t="b">
        <v>0</v>
      </c>
      <c r="H316" s="41"/>
      <c r="I316" s="41"/>
      <c r="J316" s="41" t="str">
        <f t="shared" si="3"/>
        <v/>
      </c>
    </row>
    <row r="317">
      <c r="A317" s="41"/>
      <c r="B317" s="41"/>
      <c r="C317" s="41"/>
      <c r="D317" s="41"/>
      <c r="E317" s="30" t="str">
        <f t="shared" si="1"/>
        <v/>
      </c>
      <c r="F317" s="42" t="str">
        <f t="shared" si="2"/>
        <v/>
      </c>
      <c r="G317" s="40" t="b">
        <v>0</v>
      </c>
      <c r="H317" s="41"/>
      <c r="I317" s="41"/>
      <c r="J317" s="41" t="str">
        <f t="shared" si="3"/>
        <v/>
      </c>
    </row>
    <row r="318">
      <c r="A318" s="41"/>
      <c r="B318" s="41"/>
      <c r="C318" s="41"/>
      <c r="D318" s="41"/>
      <c r="E318" s="30" t="str">
        <f t="shared" si="1"/>
        <v/>
      </c>
      <c r="F318" s="42" t="str">
        <f t="shared" si="2"/>
        <v/>
      </c>
      <c r="G318" s="40" t="b">
        <v>0</v>
      </c>
      <c r="H318" s="41"/>
      <c r="I318" s="41"/>
      <c r="J318" s="41" t="str">
        <f t="shared" si="3"/>
        <v/>
      </c>
    </row>
    <row r="319">
      <c r="A319" s="41"/>
      <c r="B319" s="41"/>
      <c r="C319" s="41"/>
      <c r="D319" s="41"/>
      <c r="E319" s="30" t="str">
        <f t="shared" si="1"/>
        <v/>
      </c>
      <c r="F319" s="42" t="str">
        <f t="shared" si="2"/>
        <v/>
      </c>
      <c r="G319" s="40" t="b">
        <v>0</v>
      </c>
      <c r="H319" s="41"/>
      <c r="I319" s="41"/>
      <c r="J319" s="41" t="str">
        <f t="shared" si="3"/>
        <v/>
      </c>
    </row>
    <row r="320">
      <c r="A320" s="41"/>
      <c r="B320" s="41"/>
      <c r="C320" s="41"/>
      <c r="D320" s="41"/>
      <c r="E320" s="30" t="str">
        <f t="shared" si="1"/>
        <v/>
      </c>
      <c r="F320" s="42" t="str">
        <f t="shared" si="2"/>
        <v/>
      </c>
      <c r="G320" s="40" t="b">
        <v>0</v>
      </c>
      <c r="H320" s="41"/>
      <c r="I320" s="41"/>
      <c r="J320" s="41" t="str">
        <f t="shared" si="3"/>
        <v/>
      </c>
    </row>
    <row r="321">
      <c r="A321" s="41"/>
      <c r="B321" s="41"/>
      <c r="C321" s="41"/>
      <c r="D321" s="41"/>
      <c r="E321" s="30" t="str">
        <f t="shared" si="1"/>
        <v/>
      </c>
      <c r="F321" s="42" t="str">
        <f t="shared" si="2"/>
        <v/>
      </c>
      <c r="G321" s="40" t="b">
        <v>0</v>
      </c>
      <c r="H321" s="41"/>
      <c r="I321" s="41"/>
      <c r="J321" s="41" t="str">
        <f t="shared" si="3"/>
        <v/>
      </c>
    </row>
    <row r="322">
      <c r="A322" s="41"/>
      <c r="B322" s="41"/>
      <c r="C322" s="41"/>
      <c r="D322" s="41"/>
      <c r="E322" s="30" t="str">
        <f t="shared" si="1"/>
        <v/>
      </c>
      <c r="F322" s="42" t="str">
        <f t="shared" si="2"/>
        <v/>
      </c>
      <c r="G322" s="40" t="b">
        <v>0</v>
      </c>
      <c r="H322" s="41"/>
      <c r="I322" s="41"/>
      <c r="J322" s="41" t="str">
        <f t="shared" si="3"/>
        <v/>
      </c>
    </row>
    <row r="323">
      <c r="A323" s="41"/>
      <c r="B323" s="41"/>
      <c r="C323" s="41"/>
      <c r="D323" s="41"/>
      <c r="E323" s="30" t="str">
        <f t="shared" si="1"/>
        <v/>
      </c>
      <c r="F323" s="42" t="str">
        <f t="shared" si="2"/>
        <v/>
      </c>
      <c r="G323" s="40" t="b">
        <v>0</v>
      </c>
      <c r="H323" s="41"/>
      <c r="I323" s="41"/>
      <c r="J323" s="41" t="str">
        <f t="shared" si="3"/>
        <v/>
      </c>
    </row>
    <row r="324">
      <c r="A324" s="41"/>
      <c r="B324" s="41"/>
      <c r="C324" s="41"/>
      <c r="D324" s="41"/>
      <c r="E324" s="30" t="str">
        <f t="shared" si="1"/>
        <v/>
      </c>
      <c r="F324" s="42" t="str">
        <f t="shared" si="2"/>
        <v/>
      </c>
      <c r="G324" s="40" t="b">
        <v>0</v>
      </c>
      <c r="H324" s="41"/>
      <c r="I324" s="41"/>
      <c r="J324" s="41" t="str">
        <f t="shared" si="3"/>
        <v/>
      </c>
    </row>
    <row r="325">
      <c r="A325" s="41"/>
      <c r="B325" s="41"/>
      <c r="C325" s="41"/>
      <c r="D325" s="41"/>
      <c r="E325" s="30" t="str">
        <f t="shared" si="1"/>
        <v/>
      </c>
      <c r="F325" s="42" t="str">
        <f t="shared" si="2"/>
        <v/>
      </c>
      <c r="G325" s="40" t="b">
        <v>0</v>
      </c>
      <c r="H325" s="41"/>
      <c r="I325" s="41"/>
      <c r="J325" s="41" t="str">
        <f t="shared" si="3"/>
        <v/>
      </c>
    </row>
    <row r="326">
      <c r="A326" s="41"/>
      <c r="B326" s="41"/>
      <c r="C326" s="41"/>
      <c r="D326" s="41"/>
      <c r="E326" s="30" t="str">
        <f t="shared" si="1"/>
        <v/>
      </c>
      <c r="F326" s="42" t="str">
        <f t="shared" si="2"/>
        <v/>
      </c>
      <c r="G326" s="40" t="b">
        <v>0</v>
      </c>
      <c r="H326" s="41"/>
      <c r="I326" s="41"/>
      <c r="J326" s="41" t="str">
        <f t="shared" si="3"/>
        <v/>
      </c>
    </row>
    <row r="327">
      <c r="A327" s="41"/>
      <c r="B327" s="41"/>
      <c r="C327" s="41"/>
      <c r="D327" s="41"/>
      <c r="E327" s="30" t="str">
        <f t="shared" si="1"/>
        <v/>
      </c>
      <c r="F327" s="42" t="str">
        <f t="shared" si="2"/>
        <v/>
      </c>
      <c r="G327" s="40" t="b">
        <v>0</v>
      </c>
      <c r="H327" s="41"/>
      <c r="I327" s="41"/>
      <c r="J327" s="41" t="str">
        <f t="shared" si="3"/>
        <v/>
      </c>
    </row>
    <row r="328">
      <c r="A328" s="41"/>
      <c r="B328" s="41"/>
      <c r="C328" s="41"/>
      <c r="D328" s="41"/>
      <c r="E328" s="30" t="str">
        <f t="shared" si="1"/>
        <v/>
      </c>
      <c r="F328" s="42" t="str">
        <f t="shared" si="2"/>
        <v/>
      </c>
      <c r="G328" s="40" t="b">
        <v>0</v>
      </c>
      <c r="H328" s="41"/>
      <c r="I328" s="41"/>
      <c r="J328" s="41" t="str">
        <f t="shared" si="3"/>
        <v/>
      </c>
    </row>
    <row r="329">
      <c r="A329" s="41"/>
      <c r="B329" s="41"/>
      <c r="C329" s="41"/>
      <c r="D329" s="41"/>
      <c r="E329" s="30" t="str">
        <f t="shared" si="1"/>
        <v/>
      </c>
      <c r="F329" s="42" t="str">
        <f t="shared" si="2"/>
        <v/>
      </c>
      <c r="G329" s="40" t="b">
        <v>0</v>
      </c>
      <c r="H329" s="41"/>
      <c r="I329" s="41"/>
      <c r="J329" s="41" t="str">
        <f t="shared" si="3"/>
        <v/>
      </c>
    </row>
    <row r="330">
      <c r="A330" s="41"/>
      <c r="B330" s="41"/>
      <c r="C330" s="41"/>
      <c r="D330" s="41"/>
      <c r="E330" s="30" t="str">
        <f t="shared" si="1"/>
        <v/>
      </c>
      <c r="F330" s="42" t="str">
        <f t="shared" si="2"/>
        <v/>
      </c>
      <c r="G330" s="40" t="b">
        <v>0</v>
      </c>
      <c r="H330" s="41"/>
      <c r="I330" s="41"/>
      <c r="J330" s="41" t="str">
        <f t="shared" si="3"/>
        <v/>
      </c>
    </row>
    <row r="331">
      <c r="A331" s="41"/>
      <c r="B331" s="41"/>
      <c r="C331" s="41"/>
      <c r="D331" s="41"/>
      <c r="E331" s="30" t="str">
        <f t="shared" si="1"/>
        <v/>
      </c>
      <c r="F331" s="42" t="str">
        <f t="shared" si="2"/>
        <v/>
      </c>
      <c r="G331" s="40" t="b">
        <v>0</v>
      </c>
      <c r="H331" s="41"/>
      <c r="I331" s="41"/>
      <c r="J331" s="41" t="str">
        <f t="shared" si="3"/>
        <v/>
      </c>
    </row>
    <row r="332">
      <c r="A332" s="41"/>
      <c r="B332" s="41"/>
      <c r="C332" s="41"/>
      <c r="D332" s="41"/>
      <c r="E332" s="30" t="str">
        <f t="shared" si="1"/>
        <v/>
      </c>
      <c r="F332" s="42" t="str">
        <f t="shared" si="2"/>
        <v/>
      </c>
      <c r="G332" s="40" t="b">
        <v>0</v>
      </c>
      <c r="H332" s="41"/>
      <c r="I332" s="41"/>
      <c r="J332" s="41" t="str">
        <f t="shared" si="3"/>
        <v/>
      </c>
    </row>
    <row r="333">
      <c r="A333" s="41"/>
      <c r="B333" s="41"/>
      <c r="C333" s="41"/>
      <c r="D333" s="41"/>
      <c r="E333" s="30" t="str">
        <f t="shared" si="1"/>
        <v/>
      </c>
      <c r="F333" s="42" t="str">
        <f t="shared" si="2"/>
        <v/>
      </c>
      <c r="G333" s="40" t="b">
        <v>0</v>
      </c>
      <c r="H333" s="41"/>
      <c r="I333" s="41"/>
      <c r="J333" s="41" t="str">
        <f t="shared" si="3"/>
        <v/>
      </c>
    </row>
    <row r="334">
      <c r="A334" s="41"/>
      <c r="B334" s="41"/>
      <c r="C334" s="41"/>
      <c r="D334" s="41"/>
      <c r="E334" s="30" t="str">
        <f t="shared" si="1"/>
        <v/>
      </c>
      <c r="F334" s="42" t="str">
        <f t="shared" si="2"/>
        <v/>
      </c>
      <c r="G334" s="40" t="b">
        <v>0</v>
      </c>
      <c r="H334" s="41"/>
      <c r="I334" s="41"/>
      <c r="J334" s="41" t="str">
        <f t="shared" si="3"/>
        <v/>
      </c>
    </row>
    <row r="335">
      <c r="A335" s="41"/>
      <c r="B335" s="41"/>
      <c r="C335" s="41"/>
      <c r="D335" s="41"/>
      <c r="E335" s="30" t="str">
        <f t="shared" si="1"/>
        <v/>
      </c>
      <c r="F335" s="42" t="str">
        <f t="shared" si="2"/>
        <v/>
      </c>
      <c r="G335" s="40" t="b">
        <v>0</v>
      </c>
      <c r="H335" s="41"/>
      <c r="I335" s="41"/>
      <c r="J335" s="41" t="str">
        <f t="shared" si="3"/>
        <v/>
      </c>
    </row>
    <row r="336">
      <c r="A336" s="41"/>
      <c r="B336" s="41"/>
      <c r="C336" s="41"/>
      <c r="D336" s="41"/>
      <c r="E336" s="30" t="str">
        <f t="shared" si="1"/>
        <v/>
      </c>
      <c r="F336" s="42" t="str">
        <f t="shared" si="2"/>
        <v/>
      </c>
      <c r="G336" s="40" t="b">
        <v>0</v>
      </c>
      <c r="H336" s="41"/>
      <c r="I336" s="41"/>
      <c r="J336" s="41" t="str">
        <f t="shared" si="3"/>
        <v/>
      </c>
    </row>
    <row r="337">
      <c r="A337" s="41"/>
      <c r="B337" s="41"/>
      <c r="C337" s="41"/>
      <c r="D337" s="41"/>
      <c r="E337" s="30" t="str">
        <f t="shared" si="1"/>
        <v/>
      </c>
      <c r="F337" s="42" t="str">
        <f t="shared" si="2"/>
        <v/>
      </c>
      <c r="G337" s="40" t="b">
        <v>0</v>
      </c>
      <c r="H337" s="41"/>
      <c r="I337" s="41"/>
      <c r="J337" s="41" t="str">
        <f t="shared" si="3"/>
        <v/>
      </c>
    </row>
    <row r="338">
      <c r="A338" s="41"/>
      <c r="B338" s="41"/>
      <c r="C338" s="41"/>
      <c r="D338" s="41"/>
      <c r="E338" s="30" t="str">
        <f t="shared" si="1"/>
        <v/>
      </c>
      <c r="F338" s="42" t="str">
        <f t="shared" si="2"/>
        <v/>
      </c>
      <c r="G338" s="40" t="b">
        <v>0</v>
      </c>
      <c r="H338" s="41"/>
      <c r="I338" s="41"/>
      <c r="J338" s="41" t="str">
        <f t="shared" si="3"/>
        <v/>
      </c>
    </row>
    <row r="339">
      <c r="A339" s="41"/>
      <c r="B339" s="41"/>
      <c r="C339" s="41"/>
      <c r="D339" s="41"/>
      <c r="E339" s="30" t="str">
        <f t="shared" si="1"/>
        <v/>
      </c>
      <c r="F339" s="42" t="str">
        <f t="shared" si="2"/>
        <v/>
      </c>
      <c r="G339" s="40" t="b">
        <v>0</v>
      </c>
      <c r="H339" s="41"/>
      <c r="I339" s="41"/>
      <c r="J339" s="41" t="str">
        <f t="shared" si="3"/>
        <v/>
      </c>
    </row>
    <row r="340">
      <c r="A340" s="41"/>
      <c r="B340" s="41"/>
      <c r="C340" s="41"/>
      <c r="D340" s="41"/>
      <c r="E340" s="30" t="str">
        <f t="shared" si="1"/>
        <v/>
      </c>
      <c r="F340" s="42" t="str">
        <f t="shared" si="2"/>
        <v/>
      </c>
      <c r="G340" s="40" t="b">
        <v>0</v>
      </c>
      <c r="H340" s="41"/>
      <c r="I340" s="41"/>
      <c r="J340" s="41" t="str">
        <f t="shared" si="3"/>
        <v/>
      </c>
    </row>
    <row r="341">
      <c r="A341" s="41"/>
      <c r="B341" s="41"/>
      <c r="C341" s="41"/>
      <c r="D341" s="41"/>
      <c r="E341" s="30" t="str">
        <f t="shared" si="1"/>
        <v/>
      </c>
      <c r="F341" s="42" t="str">
        <f t="shared" si="2"/>
        <v/>
      </c>
      <c r="G341" s="40" t="b">
        <v>0</v>
      </c>
      <c r="H341" s="41"/>
      <c r="I341" s="41"/>
      <c r="J341" s="41" t="str">
        <f t="shared" si="3"/>
        <v/>
      </c>
    </row>
    <row r="342">
      <c r="A342" s="41"/>
      <c r="B342" s="41"/>
      <c r="C342" s="41"/>
      <c r="D342" s="41"/>
      <c r="E342" s="30" t="str">
        <f t="shared" si="1"/>
        <v/>
      </c>
      <c r="F342" s="42" t="str">
        <f t="shared" si="2"/>
        <v/>
      </c>
      <c r="G342" s="40" t="b">
        <v>0</v>
      </c>
      <c r="H342" s="41"/>
      <c r="I342" s="41"/>
      <c r="J342" s="41" t="str">
        <f t="shared" si="3"/>
        <v/>
      </c>
    </row>
    <row r="343">
      <c r="A343" s="41"/>
      <c r="B343" s="41"/>
      <c r="C343" s="41"/>
      <c r="D343" s="41"/>
      <c r="E343" s="30" t="str">
        <f t="shared" si="1"/>
        <v/>
      </c>
      <c r="F343" s="42" t="str">
        <f t="shared" si="2"/>
        <v/>
      </c>
      <c r="G343" s="40" t="b">
        <v>0</v>
      </c>
      <c r="H343" s="41"/>
      <c r="I343" s="41"/>
      <c r="J343" s="41" t="str">
        <f t="shared" si="3"/>
        <v/>
      </c>
    </row>
    <row r="344">
      <c r="A344" s="41"/>
      <c r="B344" s="41"/>
      <c r="C344" s="41"/>
      <c r="D344" s="41"/>
      <c r="E344" s="30" t="str">
        <f t="shared" si="1"/>
        <v/>
      </c>
      <c r="F344" s="42" t="str">
        <f t="shared" si="2"/>
        <v/>
      </c>
      <c r="G344" s="40" t="b">
        <v>0</v>
      </c>
      <c r="H344" s="41"/>
      <c r="I344" s="41"/>
      <c r="J344" s="41" t="str">
        <f t="shared" si="3"/>
        <v/>
      </c>
    </row>
    <row r="345">
      <c r="A345" s="41"/>
      <c r="B345" s="41"/>
      <c r="C345" s="41"/>
      <c r="D345" s="41"/>
      <c r="E345" s="30" t="str">
        <f t="shared" si="1"/>
        <v/>
      </c>
      <c r="F345" s="42" t="str">
        <f t="shared" si="2"/>
        <v/>
      </c>
      <c r="G345" s="40" t="b">
        <v>0</v>
      </c>
      <c r="H345" s="41"/>
      <c r="I345" s="41"/>
      <c r="J345" s="41" t="str">
        <f t="shared" si="3"/>
        <v/>
      </c>
    </row>
    <row r="346">
      <c r="A346" s="41"/>
      <c r="B346" s="41"/>
      <c r="C346" s="41"/>
      <c r="D346" s="41"/>
      <c r="E346" s="30" t="str">
        <f t="shared" si="1"/>
        <v/>
      </c>
      <c r="F346" s="42" t="str">
        <f t="shared" si="2"/>
        <v/>
      </c>
      <c r="G346" s="40" t="b">
        <v>0</v>
      </c>
      <c r="H346" s="41"/>
      <c r="I346" s="41"/>
      <c r="J346" s="41" t="str">
        <f t="shared" si="3"/>
        <v/>
      </c>
    </row>
    <row r="347">
      <c r="A347" s="41"/>
      <c r="B347" s="41"/>
      <c r="C347" s="41"/>
      <c r="D347" s="41"/>
      <c r="E347" s="30" t="str">
        <f t="shared" si="1"/>
        <v/>
      </c>
      <c r="F347" s="42" t="str">
        <f t="shared" si="2"/>
        <v/>
      </c>
      <c r="G347" s="40" t="b">
        <v>0</v>
      </c>
      <c r="H347" s="41"/>
      <c r="I347" s="41"/>
      <c r="J347" s="41" t="str">
        <f t="shared" si="3"/>
        <v/>
      </c>
    </row>
    <row r="348">
      <c r="A348" s="41"/>
      <c r="B348" s="41"/>
      <c r="C348" s="41"/>
      <c r="D348" s="41"/>
      <c r="E348" s="30" t="str">
        <f t="shared" si="1"/>
        <v/>
      </c>
      <c r="F348" s="42" t="str">
        <f t="shared" si="2"/>
        <v/>
      </c>
      <c r="G348" s="40" t="b">
        <v>0</v>
      </c>
      <c r="H348" s="41"/>
      <c r="I348" s="41"/>
      <c r="J348" s="41" t="str">
        <f t="shared" si="3"/>
        <v/>
      </c>
    </row>
    <row r="349">
      <c r="A349" s="41"/>
      <c r="B349" s="41"/>
      <c r="C349" s="41"/>
      <c r="D349" s="41"/>
      <c r="E349" s="30" t="str">
        <f t="shared" si="1"/>
        <v/>
      </c>
      <c r="F349" s="42" t="str">
        <f t="shared" si="2"/>
        <v/>
      </c>
      <c r="G349" s="40" t="b">
        <v>0</v>
      </c>
      <c r="H349" s="41"/>
      <c r="I349" s="41"/>
      <c r="J349" s="41" t="str">
        <f t="shared" si="3"/>
        <v/>
      </c>
    </row>
    <row r="350">
      <c r="A350" s="41"/>
      <c r="B350" s="41"/>
      <c r="C350" s="41"/>
      <c r="D350" s="41"/>
      <c r="E350" s="30" t="str">
        <f t="shared" si="1"/>
        <v/>
      </c>
      <c r="F350" s="42" t="str">
        <f t="shared" si="2"/>
        <v/>
      </c>
      <c r="G350" s="40" t="b">
        <v>0</v>
      </c>
      <c r="H350" s="41"/>
      <c r="I350" s="41"/>
      <c r="J350" s="41" t="str">
        <f t="shared" si="3"/>
        <v/>
      </c>
    </row>
    <row r="351">
      <c r="A351" s="41"/>
      <c r="B351" s="41"/>
      <c r="C351" s="41"/>
      <c r="D351" s="41"/>
      <c r="E351" s="30" t="str">
        <f t="shared" si="1"/>
        <v/>
      </c>
      <c r="F351" s="42" t="str">
        <f t="shared" si="2"/>
        <v/>
      </c>
      <c r="G351" s="40" t="b">
        <v>0</v>
      </c>
      <c r="H351" s="41"/>
      <c r="I351" s="41"/>
      <c r="J351" s="41" t="str">
        <f t="shared" si="3"/>
        <v/>
      </c>
    </row>
    <row r="352">
      <c r="A352" s="41"/>
      <c r="B352" s="41"/>
      <c r="C352" s="41"/>
      <c r="D352" s="41"/>
      <c r="E352" s="30" t="str">
        <f t="shared" si="1"/>
        <v/>
      </c>
      <c r="F352" s="42" t="str">
        <f t="shared" si="2"/>
        <v/>
      </c>
      <c r="G352" s="40" t="b">
        <v>0</v>
      </c>
      <c r="H352" s="41"/>
      <c r="I352" s="41"/>
      <c r="J352" s="41" t="str">
        <f t="shared" si="3"/>
        <v/>
      </c>
    </row>
    <row r="353">
      <c r="A353" s="41"/>
      <c r="B353" s="41"/>
      <c r="C353" s="41"/>
      <c r="D353" s="41"/>
      <c r="E353" s="30" t="str">
        <f t="shared" si="1"/>
        <v/>
      </c>
      <c r="F353" s="42" t="str">
        <f t="shared" si="2"/>
        <v/>
      </c>
      <c r="G353" s="40" t="b">
        <v>0</v>
      </c>
      <c r="H353" s="41"/>
      <c r="I353" s="41"/>
      <c r="J353" s="41" t="str">
        <f t="shared" si="3"/>
        <v/>
      </c>
    </row>
    <row r="354">
      <c r="A354" s="41"/>
      <c r="B354" s="41"/>
      <c r="C354" s="41"/>
      <c r="D354" s="41"/>
      <c r="E354" s="30" t="str">
        <f t="shared" si="1"/>
        <v/>
      </c>
      <c r="F354" s="42" t="str">
        <f t="shared" si="2"/>
        <v/>
      </c>
      <c r="G354" s="40" t="b">
        <v>0</v>
      </c>
      <c r="H354" s="41"/>
      <c r="I354" s="41"/>
      <c r="J354" s="41" t="str">
        <f t="shared" si="3"/>
        <v/>
      </c>
    </row>
    <row r="355">
      <c r="A355" s="41"/>
      <c r="B355" s="41"/>
      <c r="C355" s="41"/>
      <c r="D355" s="41"/>
      <c r="E355" s="30" t="str">
        <f t="shared" si="1"/>
        <v/>
      </c>
      <c r="F355" s="42" t="str">
        <f t="shared" si="2"/>
        <v/>
      </c>
      <c r="G355" s="40" t="b">
        <v>0</v>
      </c>
      <c r="H355" s="41"/>
      <c r="I355" s="41"/>
      <c r="J355" s="41" t="str">
        <f t="shared" si="3"/>
        <v/>
      </c>
    </row>
    <row r="356">
      <c r="A356" s="41"/>
      <c r="B356" s="41"/>
      <c r="C356" s="41"/>
      <c r="D356" s="41"/>
      <c r="E356" s="30" t="str">
        <f t="shared" si="1"/>
        <v/>
      </c>
      <c r="F356" s="42" t="str">
        <f t="shared" si="2"/>
        <v/>
      </c>
      <c r="G356" s="40" t="b">
        <v>0</v>
      </c>
      <c r="H356" s="41"/>
      <c r="I356" s="41"/>
      <c r="J356" s="41" t="str">
        <f t="shared" si="3"/>
        <v/>
      </c>
    </row>
    <row r="357">
      <c r="A357" s="41"/>
      <c r="B357" s="41"/>
      <c r="C357" s="41"/>
      <c r="D357" s="41"/>
      <c r="E357" s="30" t="str">
        <f t="shared" si="1"/>
        <v/>
      </c>
      <c r="F357" s="42" t="str">
        <f t="shared" si="2"/>
        <v/>
      </c>
      <c r="G357" s="40" t="b">
        <v>0</v>
      </c>
      <c r="H357" s="41"/>
      <c r="I357" s="41"/>
      <c r="J357" s="41" t="str">
        <f t="shared" si="3"/>
        <v/>
      </c>
    </row>
    <row r="358">
      <c r="A358" s="41"/>
      <c r="B358" s="41"/>
      <c r="C358" s="41"/>
      <c r="D358" s="41"/>
      <c r="E358" s="30" t="str">
        <f t="shared" si="1"/>
        <v/>
      </c>
      <c r="F358" s="42" t="str">
        <f t="shared" si="2"/>
        <v/>
      </c>
      <c r="G358" s="40" t="b">
        <v>0</v>
      </c>
      <c r="H358" s="41"/>
      <c r="I358" s="41"/>
      <c r="J358" s="41" t="str">
        <f t="shared" si="3"/>
        <v/>
      </c>
    </row>
    <row r="359">
      <c r="A359" s="41"/>
      <c r="B359" s="41"/>
      <c r="C359" s="41"/>
      <c r="D359" s="41"/>
      <c r="E359" s="30" t="str">
        <f t="shared" si="1"/>
        <v/>
      </c>
      <c r="F359" s="42" t="str">
        <f t="shared" si="2"/>
        <v/>
      </c>
      <c r="G359" s="40" t="b">
        <v>0</v>
      </c>
      <c r="H359" s="41"/>
      <c r="I359" s="41"/>
      <c r="J359" s="41" t="str">
        <f t="shared" si="3"/>
        <v/>
      </c>
    </row>
    <row r="360">
      <c r="A360" s="41"/>
      <c r="B360" s="41"/>
      <c r="C360" s="41"/>
      <c r="D360" s="41"/>
      <c r="E360" s="30" t="str">
        <f t="shared" si="1"/>
        <v/>
      </c>
      <c r="F360" s="42" t="str">
        <f t="shared" si="2"/>
        <v/>
      </c>
      <c r="G360" s="40" t="b">
        <v>0</v>
      </c>
      <c r="H360" s="41"/>
      <c r="I360" s="41"/>
      <c r="J360" s="41" t="str">
        <f t="shared" si="3"/>
        <v/>
      </c>
    </row>
    <row r="361">
      <c r="A361" s="41"/>
      <c r="B361" s="41"/>
      <c r="C361" s="41"/>
      <c r="D361" s="41"/>
      <c r="E361" s="30" t="str">
        <f t="shared" si="1"/>
        <v/>
      </c>
      <c r="F361" s="42" t="str">
        <f t="shared" si="2"/>
        <v/>
      </c>
      <c r="G361" s="40" t="b">
        <v>0</v>
      </c>
      <c r="H361" s="41"/>
      <c r="I361" s="41"/>
      <c r="J361" s="41" t="str">
        <f t="shared" si="3"/>
        <v/>
      </c>
    </row>
    <row r="362">
      <c r="A362" s="41"/>
      <c r="B362" s="41"/>
      <c r="C362" s="41"/>
      <c r="D362" s="41"/>
      <c r="E362" s="30" t="str">
        <f t="shared" si="1"/>
        <v/>
      </c>
      <c r="F362" s="42" t="str">
        <f t="shared" si="2"/>
        <v/>
      </c>
      <c r="G362" s="40" t="b">
        <v>0</v>
      </c>
      <c r="H362" s="41"/>
      <c r="I362" s="41"/>
      <c r="J362" s="41" t="str">
        <f t="shared" si="3"/>
        <v/>
      </c>
    </row>
    <row r="363">
      <c r="A363" s="41"/>
      <c r="B363" s="41"/>
      <c r="C363" s="41"/>
      <c r="D363" s="41"/>
      <c r="E363" s="30" t="str">
        <f t="shared" si="1"/>
        <v/>
      </c>
      <c r="F363" s="42" t="str">
        <f t="shared" si="2"/>
        <v/>
      </c>
      <c r="G363" s="40" t="b">
        <v>0</v>
      </c>
      <c r="H363" s="41"/>
      <c r="I363" s="41"/>
      <c r="J363" s="41" t="str">
        <f t="shared" si="3"/>
        <v/>
      </c>
    </row>
    <row r="364">
      <c r="A364" s="41"/>
      <c r="B364" s="41"/>
      <c r="C364" s="41"/>
      <c r="D364" s="41"/>
      <c r="E364" s="30" t="str">
        <f t="shared" si="1"/>
        <v/>
      </c>
      <c r="F364" s="42" t="str">
        <f t="shared" si="2"/>
        <v/>
      </c>
      <c r="G364" s="40" t="b">
        <v>0</v>
      </c>
      <c r="H364" s="41"/>
      <c r="I364" s="41"/>
      <c r="J364" s="41" t="str">
        <f t="shared" si="3"/>
        <v/>
      </c>
    </row>
    <row r="365">
      <c r="A365" s="41"/>
      <c r="B365" s="41"/>
      <c r="C365" s="41"/>
      <c r="D365" s="41"/>
      <c r="E365" s="30" t="str">
        <f t="shared" si="1"/>
        <v/>
      </c>
      <c r="F365" s="42" t="str">
        <f t="shared" si="2"/>
        <v/>
      </c>
      <c r="G365" s="40" t="b">
        <v>0</v>
      </c>
      <c r="H365" s="41"/>
      <c r="I365" s="41"/>
      <c r="J365" s="41" t="str">
        <f t="shared" si="3"/>
        <v/>
      </c>
    </row>
    <row r="366">
      <c r="A366" s="41"/>
      <c r="B366" s="41"/>
      <c r="C366" s="41"/>
      <c r="D366" s="41"/>
      <c r="E366" s="30" t="str">
        <f t="shared" si="1"/>
        <v/>
      </c>
      <c r="F366" s="42" t="str">
        <f t="shared" si="2"/>
        <v/>
      </c>
      <c r="G366" s="40" t="b">
        <v>0</v>
      </c>
      <c r="H366" s="41"/>
      <c r="I366" s="41"/>
      <c r="J366" s="41" t="str">
        <f t="shared" si="3"/>
        <v/>
      </c>
    </row>
    <row r="367">
      <c r="A367" s="41"/>
      <c r="B367" s="41"/>
      <c r="C367" s="41"/>
      <c r="D367" s="41"/>
      <c r="E367" s="30" t="str">
        <f t="shared" si="1"/>
        <v/>
      </c>
      <c r="F367" s="42" t="str">
        <f t="shared" si="2"/>
        <v/>
      </c>
      <c r="G367" s="40" t="b">
        <v>0</v>
      </c>
      <c r="H367" s="41"/>
      <c r="I367" s="41"/>
      <c r="J367" s="41" t="str">
        <f t="shared" si="3"/>
        <v/>
      </c>
    </row>
    <row r="368">
      <c r="A368" s="41"/>
      <c r="B368" s="41"/>
      <c r="C368" s="41"/>
      <c r="D368" s="41"/>
      <c r="E368" s="30" t="str">
        <f t="shared" si="1"/>
        <v/>
      </c>
      <c r="F368" s="42" t="str">
        <f t="shared" si="2"/>
        <v/>
      </c>
      <c r="G368" s="40" t="b">
        <v>0</v>
      </c>
      <c r="H368" s="41"/>
      <c r="I368" s="41"/>
      <c r="J368" s="41" t="str">
        <f t="shared" si="3"/>
        <v/>
      </c>
    </row>
    <row r="369">
      <c r="A369" s="41"/>
      <c r="B369" s="41"/>
      <c r="C369" s="41"/>
      <c r="D369" s="41"/>
      <c r="E369" s="30" t="str">
        <f t="shared" si="1"/>
        <v/>
      </c>
      <c r="F369" s="42" t="str">
        <f t="shared" si="2"/>
        <v/>
      </c>
      <c r="G369" s="40" t="b">
        <v>0</v>
      </c>
      <c r="H369" s="41"/>
      <c r="I369" s="41"/>
      <c r="J369" s="41" t="str">
        <f t="shared" si="3"/>
        <v/>
      </c>
    </row>
    <row r="370">
      <c r="A370" s="41"/>
      <c r="B370" s="41"/>
      <c r="C370" s="41"/>
      <c r="D370" s="41"/>
      <c r="E370" s="30" t="str">
        <f t="shared" si="1"/>
        <v/>
      </c>
      <c r="F370" s="42" t="str">
        <f t="shared" si="2"/>
        <v/>
      </c>
      <c r="G370" s="40" t="b">
        <v>0</v>
      </c>
      <c r="H370" s="41"/>
      <c r="I370" s="41"/>
      <c r="J370" s="41" t="str">
        <f t="shared" si="3"/>
        <v/>
      </c>
    </row>
    <row r="371">
      <c r="A371" s="41"/>
      <c r="B371" s="41"/>
      <c r="C371" s="41"/>
      <c r="D371" s="41"/>
      <c r="E371" s="30" t="str">
        <f t="shared" si="1"/>
        <v/>
      </c>
      <c r="F371" s="42" t="str">
        <f t="shared" si="2"/>
        <v/>
      </c>
      <c r="G371" s="40" t="b">
        <v>0</v>
      </c>
      <c r="H371" s="41"/>
      <c r="I371" s="41"/>
      <c r="J371" s="41" t="str">
        <f t="shared" si="3"/>
        <v/>
      </c>
    </row>
    <row r="372">
      <c r="A372" s="41"/>
      <c r="B372" s="41"/>
      <c r="C372" s="41"/>
      <c r="D372" s="41"/>
      <c r="E372" s="30" t="str">
        <f t="shared" si="1"/>
        <v/>
      </c>
      <c r="F372" s="42" t="str">
        <f t="shared" si="2"/>
        <v/>
      </c>
      <c r="G372" s="40" t="b">
        <v>0</v>
      </c>
      <c r="H372" s="41"/>
      <c r="I372" s="41"/>
      <c r="J372" s="41" t="str">
        <f t="shared" si="3"/>
        <v/>
      </c>
    </row>
    <row r="373">
      <c r="A373" s="41"/>
      <c r="B373" s="41"/>
      <c r="C373" s="41"/>
      <c r="D373" s="41"/>
      <c r="E373" s="30" t="str">
        <f t="shared" si="1"/>
        <v/>
      </c>
      <c r="F373" s="42" t="str">
        <f t="shared" si="2"/>
        <v/>
      </c>
      <c r="G373" s="40" t="b">
        <v>0</v>
      </c>
      <c r="H373" s="41"/>
      <c r="I373" s="41"/>
      <c r="J373" s="41" t="str">
        <f t="shared" si="3"/>
        <v/>
      </c>
    </row>
    <row r="374">
      <c r="A374" s="41"/>
      <c r="B374" s="41"/>
      <c r="C374" s="41"/>
      <c r="D374" s="41"/>
      <c r="E374" s="30" t="str">
        <f t="shared" si="1"/>
        <v/>
      </c>
      <c r="F374" s="42" t="str">
        <f t="shared" si="2"/>
        <v/>
      </c>
      <c r="G374" s="40" t="b">
        <v>0</v>
      </c>
      <c r="H374" s="41"/>
      <c r="I374" s="41"/>
      <c r="J374" s="41" t="str">
        <f t="shared" si="3"/>
        <v/>
      </c>
    </row>
    <row r="375">
      <c r="A375" s="41"/>
      <c r="B375" s="41"/>
      <c r="C375" s="41"/>
      <c r="D375" s="41"/>
      <c r="E375" s="30" t="str">
        <f t="shared" si="1"/>
        <v/>
      </c>
      <c r="F375" s="42" t="str">
        <f t="shared" si="2"/>
        <v/>
      </c>
      <c r="G375" s="40" t="b">
        <v>0</v>
      </c>
      <c r="H375" s="41"/>
      <c r="I375" s="41"/>
      <c r="J375" s="41" t="str">
        <f t="shared" si="3"/>
        <v/>
      </c>
    </row>
    <row r="376">
      <c r="A376" s="41"/>
      <c r="B376" s="41"/>
      <c r="C376" s="41"/>
      <c r="D376" s="41"/>
      <c r="E376" s="30" t="str">
        <f t="shared" si="1"/>
        <v/>
      </c>
      <c r="F376" s="42" t="str">
        <f t="shared" si="2"/>
        <v/>
      </c>
      <c r="G376" s="40" t="b">
        <v>0</v>
      </c>
      <c r="H376" s="41"/>
      <c r="I376" s="41"/>
      <c r="J376" s="41" t="str">
        <f t="shared" si="3"/>
        <v/>
      </c>
    </row>
    <row r="377">
      <c r="A377" s="41"/>
      <c r="B377" s="41"/>
      <c r="C377" s="41"/>
      <c r="D377" s="41"/>
      <c r="E377" s="30" t="str">
        <f t="shared" si="1"/>
        <v/>
      </c>
      <c r="F377" s="42" t="str">
        <f t="shared" si="2"/>
        <v/>
      </c>
      <c r="G377" s="40" t="b">
        <v>0</v>
      </c>
      <c r="H377" s="41"/>
      <c r="I377" s="41"/>
      <c r="J377" s="41" t="str">
        <f t="shared" si="3"/>
        <v/>
      </c>
    </row>
    <row r="378">
      <c r="A378" s="41"/>
      <c r="B378" s="41"/>
      <c r="C378" s="41"/>
      <c r="D378" s="41"/>
      <c r="E378" s="30" t="str">
        <f t="shared" si="1"/>
        <v/>
      </c>
      <c r="F378" s="42" t="str">
        <f t="shared" si="2"/>
        <v/>
      </c>
      <c r="G378" s="40" t="b">
        <v>0</v>
      </c>
      <c r="H378" s="41"/>
      <c r="I378" s="41"/>
      <c r="J378" s="41" t="str">
        <f t="shared" si="3"/>
        <v/>
      </c>
    </row>
    <row r="379">
      <c r="A379" s="41"/>
      <c r="B379" s="41"/>
      <c r="C379" s="41"/>
      <c r="D379" s="41"/>
      <c r="E379" s="30" t="str">
        <f t="shared" si="1"/>
        <v/>
      </c>
      <c r="F379" s="42" t="str">
        <f t="shared" si="2"/>
        <v/>
      </c>
      <c r="G379" s="40" t="b">
        <v>0</v>
      </c>
      <c r="H379" s="41"/>
      <c r="I379" s="41"/>
      <c r="J379" s="41" t="str">
        <f t="shared" si="3"/>
        <v/>
      </c>
    </row>
    <row r="380">
      <c r="A380" s="41"/>
      <c r="B380" s="41"/>
      <c r="C380" s="41"/>
      <c r="D380" s="41"/>
      <c r="E380" s="30" t="str">
        <f t="shared" si="1"/>
        <v/>
      </c>
      <c r="F380" s="42" t="str">
        <f t="shared" si="2"/>
        <v/>
      </c>
      <c r="G380" s="40" t="b">
        <v>0</v>
      </c>
      <c r="H380" s="41"/>
      <c r="I380" s="41"/>
      <c r="J380" s="41" t="str">
        <f t="shared" si="3"/>
        <v/>
      </c>
    </row>
    <row r="381">
      <c r="A381" s="41"/>
      <c r="B381" s="41"/>
      <c r="C381" s="41"/>
      <c r="D381" s="41"/>
      <c r="E381" s="30" t="str">
        <f t="shared" si="1"/>
        <v/>
      </c>
      <c r="F381" s="42" t="str">
        <f t="shared" si="2"/>
        <v/>
      </c>
      <c r="G381" s="40" t="b">
        <v>0</v>
      </c>
      <c r="H381" s="41"/>
      <c r="I381" s="41"/>
      <c r="J381" s="41" t="str">
        <f t="shared" si="3"/>
        <v/>
      </c>
    </row>
    <row r="382">
      <c r="A382" s="41"/>
      <c r="B382" s="41"/>
      <c r="C382" s="41"/>
      <c r="D382" s="41"/>
      <c r="E382" s="30" t="str">
        <f t="shared" si="1"/>
        <v/>
      </c>
      <c r="F382" s="42" t="str">
        <f t="shared" si="2"/>
        <v/>
      </c>
      <c r="G382" s="40" t="b">
        <v>0</v>
      </c>
      <c r="H382" s="41"/>
      <c r="I382" s="41"/>
      <c r="J382" s="41" t="str">
        <f t="shared" si="3"/>
        <v/>
      </c>
    </row>
    <row r="383">
      <c r="A383" s="41"/>
      <c r="B383" s="41"/>
      <c r="C383" s="41"/>
      <c r="D383" s="41"/>
      <c r="E383" s="30" t="str">
        <f t="shared" si="1"/>
        <v/>
      </c>
      <c r="F383" s="42" t="str">
        <f t="shared" si="2"/>
        <v/>
      </c>
      <c r="G383" s="40" t="b">
        <v>0</v>
      </c>
      <c r="H383" s="41"/>
      <c r="I383" s="41"/>
      <c r="J383" s="41" t="str">
        <f t="shared" si="3"/>
        <v/>
      </c>
    </row>
    <row r="384">
      <c r="A384" s="41"/>
      <c r="B384" s="41"/>
      <c r="C384" s="41"/>
      <c r="D384" s="41"/>
      <c r="E384" s="30" t="str">
        <f t="shared" si="1"/>
        <v/>
      </c>
      <c r="F384" s="42" t="str">
        <f t="shared" si="2"/>
        <v/>
      </c>
      <c r="G384" s="40" t="b">
        <v>0</v>
      </c>
      <c r="H384" s="41"/>
      <c r="I384" s="41"/>
      <c r="J384" s="41" t="str">
        <f t="shared" si="3"/>
        <v/>
      </c>
    </row>
    <row r="385">
      <c r="A385" s="41"/>
      <c r="B385" s="41"/>
      <c r="C385" s="41"/>
      <c r="D385" s="41"/>
      <c r="E385" s="30" t="str">
        <f t="shared" si="1"/>
        <v/>
      </c>
      <c r="F385" s="42" t="str">
        <f t="shared" si="2"/>
        <v/>
      </c>
      <c r="G385" s="40" t="b">
        <v>0</v>
      </c>
      <c r="H385" s="41"/>
      <c r="I385" s="41"/>
      <c r="J385" s="41" t="str">
        <f t="shared" si="3"/>
        <v/>
      </c>
    </row>
    <row r="386">
      <c r="A386" s="41"/>
      <c r="B386" s="41"/>
      <c r="C386" s="41"/>
      <c r="D386" s="41"/>
      <c r="E386" s="30" t="str">
        <f t="shared" si="1"/>
        <v/>
      </c>
      <c r="F386" s="42" t="str">
        <f t="shared" si="2"/>
        <v/>
      </c>
      <c r="G386" s="40" t="b">
        <v>0</v>
      </c>
      <c r="H386" s="41"/>
      <c r="I386" s="41"/>
      <c r="J386" s="41" t="str">
        <f t="shared" si="3"/>
        <v/>
      </c>
    </row>
    <row r="387">
      <c r="A387" s="41"/>
      <c r="B387" s="41"/>
      <c r="C387" s="41"/>
      <c r="D387" s="41"/>
      <c r="E387" s="30" t="str">
        <f t="shared" si="1"/>
        <v/>
      </c>
      <c r="F387" s="42" t="str">
        <f t="shared" si="2"/>
        <v/>
      </c>
      <c r="G387" s="40" t="b">
        <v>0</v>
      </c>
      <c r="H387" s="41"/>
      <c r="I387" s="41"/>
      <c r="J387" s="41" t="str">
        <f t="shared" si="3"/>
        <v/>
      </c>
    </row>
    <row r="388">
      <c r="A388" s="41"/>
      <c r="B388" s="41"/>
      <c r="C388" s="41"/>
      <c r="D388" s="41"/>
      <c r="E388" s="30" t="str">
        <f t="shared" si="1"/>
        <v/>
      </c>
      <c r="F388" s="42" t="str">
        <f t="shared" si="2"/>
        <v/>
      </c>
      <c r="G388" s="40" t="b">
        <v>0</v>
      </c>
      <c r="H388" s="41"/>
      <c r="I388" s="41"/>
      <c r="J388" s="41" t="str">
        <f t="shared" si="3"/>
        <v/>
      </c>
    </row>
    <row r="389">
      <c r="A389" s="41"/>
      <c r="B389" s="41"/>
      <c r="C389" s="41"/>
      <c r="D389" s="41"/>
      <c r="E389" s="30" t="str">
        <f t="shared" si="1"/>
        <v/>
      </c>
      <c r="F389" s="42" t="str">
        <f t="shared" si="2"/>
        <v/>
      </c>
      <c r="G389" s="40" t="b">
        <v>0</v>
      </c>
      <c r="H389" s="41"/>
      <c r="I389" s="41"/>
      <c r="J389" s="41" t="str">
        <f t="shared" si="3"/>
        <v/>
      </c>
    </row>
    <row r="390">
      <c r="A390" s="41"/>
      <c r="B390" s="41"/>
      <c r="C390" s="41"/>
      <c r="D390" s="41"/>
      <c r="E390" s="30" t="str">
        <f t="shared" si="1"/>
        <v/>
      </c>
      <c r="F390" s="42" t="str">
        <f t="shared" si="2"/>
        <v/>
      </c>
      <c r="G390" s="40" t="b">
        <v>0</v>
      </c>
      <c r="H390" s="41"/>
      <c r="I390" s="41"/>
      <c r="J390" s="41" t="str">
        <f t="shared" si="3"/>
        <v/>
      </c>
    </row>
    <row r="391">
      <c r="A391" s="41"/>
      <c r="B391" s="41"/>
      <c r="C391" s="41"/>
      <c r="D391" s="41"/>
      <c r="E391" s="30" t="str">
        <f t="shared" si="1"/>
        <v/>
      </c>
      <c r="F391" s="42" t="str">
        <f t="shared" si="2"/>
        <v/>
      </c>
      <c r="G391" s="40" t="b">
        <v>0</v>
      </c>
      <c r="H391" s="41"/>
      <c r="I391" s="41"/>
      <c r="J391" s="41" t="str">
        <f t="shared" si="3"/>
        <v/>
      </c>
    </row>
    <row r="392">
      <c r="A392" s="41"/>
      <c r="B392" s="41"/>
      <c r="C392" s="41"/>
      <c r="D392" s="41"/>
      <c r="E392" s="30" t="str">
        <f t="shared" si="1"/>
        <v/>
      </c>
      <c r="F392" s="42" t="str">
        <f t="shared" si="2"/>
        <v/>
      </c>
      <c r="G392" s="40" t="b">
        <v>0</v>
      </c>
      <c r="H392" s="41"/>
      <c r="I392" s="41"/>
      <c r="J392" s="41" t="str">
        <f t="shared" si="3"/>
        <v/>
      </c>
    </row>
  </sheetData>
  <dataValidations>
    <dataValidation type="decimal" operator="greaterThanOrEqual" allowBlank="1" showDropDown="1" showErrorMessage="1" sqref="B2:D392">
      <formula1>0.0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6" width="22.67"/>
  </cols>
  <sheetData>
    <row r="1">
      <c r="A1" s="43"/>
      <c r="D1" s="44"/>
      <c r="E1" s="7"/>
      <c r="F1" s="7"/>
    </row>
    <row r="2">
      <c r="A2" s="45" t="s">
        <v>250</v>
      </c>
      <c r="B2" s="46">
        <f>COUNTIF(Samples!D2:Samples!D92, "Sample")</f>
        <v>91</v>
      </c>
      <c r="C2" s="8" t="s">
        <v>251</v>
      </c>
      <c r="D2" s="7"/>
    </row>
    <row r="3">
      <c r="A3" s="47" t="s">
        <v>252</v>
      </c>
      <c r="B3" s="48">
        <v>4.0</v>
      </c>
      <c r="C3" s="7"/>
      <c r="D3" s="7"/>
    </row>
    <row r="4">
      <c r="A4" s="49" t="s">
        <v>253</v>
      </c>
      <c r="B4" s="50">
        <f>COUNTIF(Samples!D2:Samples!D92, "Control")</f>
        <v>0</v>
      </c>
      <c r="C4" s="8" t="s">
        <v>251</v>
      </c>
      <c r="D4" s="7"/>
    </row>
    <row r="5">
      <c r="A5" s="47" t="s">
        <v>252</v>
      </c>
      <c r="B5" s="48">
        <v>4.0</v>
      </c>
      <c r="C5" s="7"/>
      <c r="D5" s="7"/>
    </row>
    <row r="6">
      <c r="A6" s="49" t="s">
        <v>254</v>
      </c>
      <c r="B6" s="50">
        <f>(int(counta('Well layout1'!B2:M9)/96+0.9)+int(counta('Well layout2'!B2:M9)/96+0.9)+int(counta('Well layout3'!B2:M9)/96+0.9)+int(counta('Well layout4'!B2:M9)/96+0.9))*6</f>
        <v>24</v>
      </c>
      <c r="C6" s="8" t="s">
        <v>251</v>
      </c>
      <c r="D6" s="7"/>
    </row>
    <row r="7">
      <c r="A7" s="47" t="s">
        <v>255</v>
      </c>
      <c r="B7" s="48">
        <v>2.0</v>
      </c>
      <c r="C7" s="7"/>
      <c r="D7" s="7"/>
    </row>
    <row r="8">
      <c r="A8" s="47" t="s">
        <v>256</v>
      </c>
      <c r="B8" s="48">
        <f>B2*B3+B4*B5+B6*B7</f>
        <v>412</v>
      </c>
      <c r="C8" s="7"/>
      <c r="D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8" t="s">
        <v>257</v>
      </c>
      <c r="C13" s="7" t="s">
        <v>258</v>
      </c>
      <c r="D13" s="51" t="s">
        <v>259</v>
      </c>
      <c r="E13" s="51" t="s">
        <v>260</v>
      </c>
      <c r="F13" s="51" t="s">
        <v>261</v>
      </c>
    </row>
    <row r="14">
      <c r="A14" s="51" t="s">
        <v>262</v>
      </c>
      <c r="B14" s="7"/>
      <c r="C14" s="7"/>
      <c r="D14" s="52">
        <v>50.0</v>
      </c>
      <c r="E14" s="52">
        <f>B8*0.13</f>
        <v>53.56</v>
      </c>
      <c r="F14" s="52">
        <f>F15*D14/D15</f>
        <v>0</v>
      </c>
    </row>
    <row r="15">
      <c r="A15" s="51" t="s">
        <v>263</v>
      </c>
      <c r="B15" s="53" t="s">
        <v>264</v>
      </c>
      <c r="C15" s="52" t="s">
        <v>265</v>
      </c>
      <c r="D15" s="52">
        <v>300.0</v>
      </c>
      <c r="E15" s="54">
        <f>E14*D15/D14</f>
        <v>321.36</v>
      </c>
      <c r="F15" s="55">
        <v>0.0</v>
      </c>
    </row>
    <row r="16">
      <c r="A16" s="56" t="s">
        <v>266</v>
      </c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51" t="s">
        <v>259</v>
      </c>
      <c r="E19" s="51" t="s">
        <v>260</v>
      </c>
      <c r="F19" s="51" t="s">
        <v>261</v>
      </c>
    </row>
    <row r="20">
      <c r="A20" s="57" t="s">
        <v>267</v>
      </c>
      <c r="B20" s="58" t="s">
        <v>268</v>
      </c>
      <c r="C20" s="33" t="s">
        <v>269</v>
      </c>
      <c r="D20" s="33">
        <v>52.0</v>
      </c>
      <c r="E20" s="59">
        <f t="shared" ref="E20:E22" si="1">$E$23*D20/$D$23</f>
        <v>40.95764706</v>
      </c>
      <c r="F20" s="33">
        <f t="shared" ref="F20:F21" si="2">$F$22*D20/$D$22</f>
        <v>0</v>
      </c>
    </row>
    <row r="21">
      <c r="A21" s="57" t="s">
        <v>270</v>
      </c>
      <c r="B21" s="58" t="s">
        <v>271</v>
      </c>
      <c r="C21" s="60" t="s">
        <v>272</v>
      </c>
      <c r="D21" s="33">
        <v>16.0</v>
      </c>
      <c r="E21" s="59">
        <f t="shared" si="1"/>
        <v>12.60235294</v>
      </c>
      <c r="F21" s="33">
        <f t="shared" si="2"/>
        <v>0</v>
      </c>
    </row>
    <row r="22">
      <c r="A22" s="57" t="s">
        <v>273</v>
      </c>
      <c r="B22" s="58" t="s">
        <v>274</v>
      </c>
      <c r="C22" s="33" t="s">
        <v>275</v>
      </c>
      <c r="D22" s="33">
        <v>6000.0</v>
      </c>
      <c r="E22" s="61">
        <f t="shared" si="1"/>
        <v>4725.882353</v>
      </c>
      <c r="F22" s="55">
        <v>0.0</v>
      </c>
    </row>
    <row r="23">
      <c r="A23" s="57" t="s">
        <v>276</v>
      </c>
      <c r="B23" s="62"/>
      <c r="C23" s="62"/>
      <c r="D23" s="33">
        <f>D20+D21</f>
        <v>68</v>
      </c>
      <c r="E23" s="52">
        <f>B8*0.13</f>
        <v>53.56</v>
      </c>
      <c r="F23" s="33">
        <f>F20+F21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8.22"/>
  </cols>
  <sheetData>
    <row r="1">
      <c r="A1" s="63" t="s">
        <v>277</v>
      </c>
      <c r="B1" s="63" t="s">
        <v>20</v>
      </c>
      <c r="C1" s="63" t="s">
        <v>19</v>
      </c>
      <c r="D1" s="63" t="s">
        <v>6</v>
      </c>
    </row>
    <row r="2">
      <c r="A2" s="63" t="s">
        <v>278</v>
      </c>
      <c r="B2" s="63" t="s">
        <v>279</v>
      </c>
      <c r="C2" s="63" t="s">
        <v>280</v>
      </c>
      <c r="D2" s="63" t="s">
        <v>281</v>
      </c>
    </row>
    <row r="3">
      <c r="A3" s="63" t="s">
        <v>282</v>
      </c>
      <c r="B3" s="63" t="s">
        <v>283</v>
      </c>
      <c r="C3" s="63" t="s">
        <v>284</v>
      </c>
      <c r="D3" s="63" t="e">
        <v>#N/A</v>
      </c>
    </row>
    <row r="4">
      <c r="A4" s="63" t="s">
        <v>285</v>
      </c>
      <c r="B4" s="63" t="s">
        <v>286</v>
      </c>
      <c r="C4" s="63" t="s">
        <v>287</v>
      </c>
      <c r="D4" s="63" t="s">
        <v>288</v>
      </c>
    </row>
    <row r="5">
      <c r="A5" s="63" t="s">
        <v>289</v>
      </c>
      <c r="B5" s="63" t="s">
        <v>290</v>
      </c>
      <c r="C5" s="63" t="s">
        <v>291</v>
      </c>
      <c r="D5" s="63" t="e">
        <v>#N/A</v>
      </c>
    </row>
    <row r="6">
      <c r="A6" s="63" t="s">
        <v>292</v>
      </c>
      <c r="B6" s="63" t="s">
        <v>293</v>
      </c>
      <c r="C6" s="63" t="s">
        <v>294</v>
      </c>
      <c r="D6" s="63" t="s">
        <v>295</v>
      </c>
    </row>
    <row r="7">
      <c r="A7" s="63" t="s">
        <v>296</v>
      </c>
      <c r="B7" s="63" t="s">
        <v>297</v>
      </c>
      <c r="C7" s="63" t="s">
        <v>298</v>
      </c>
      <c r="D7" s="63" t="s">
        <v>299</v>
      </c>
    </row>
    <row r="8">
      <c r="A8" s="63" t="s">
        <v>300</v>
      </c>
      <c r="B8" s="63" t="s">
        <v>301</v>
      </c>
      <c r="C8" s="63" t="s">
        <v>302</v>
      </c>
      <c r="D8" s="63" t="s">
        <v>303</v>
      </c>
    </row>
    <row r="9">
      <c r="A9" s="63" t="s">
        <v>304</v>
      </c>
      <c r="B9" s="63" t="s">
        <v>305</v>
      </c>
      <c r="C9" s="63" t="s">
        <v>306</v>
      </c>
      <c r="D9" s="63" t="s">
        <v>307</v>
      </c>
    </row>
    <row r="10">
      <c r="A10" s="63" t="s">
        <v>308</v>
      </c>
      <c r="B10" s="63" t="s">
        <v>309</v>
      </c>
      <c r="C10" s="63" t="s">
        <v>310</v>
      </c>
      <c r="D10" s="63" t="s">
        <v>311</v>
      </c>
    </row>
    <row r="11">
      <c r="A11" s="63" t="s">
        <v>312</v>
      </c>
      <c r="B11" s="63" t="s">
        <v>313</v>
      </c>
      <c r="C11" s="63" t="s">
        <v>314</v>
      </c>
      <c r="D11" s="63" t="s">
        <v>315</v>
      </c>
    </row>
    <row r="12">
      <c r="A12" s="63" t="s">
        <v>316</v>
      </c>
      <c r="B12" s="63" t="s">
        <v>317</v>
      </c>
      <c r="C12" s="63" t="s">
        <v>318</v>
      </c>
      <c r="D12" s="63" t="s">
        <v>319</v>
      </c>
    </row>
    <row r="13">
      <c r="A13" s="63" t="s">
        <v>320</v>
      </c>
      <c r="B13" s="63" t="s">
        <v>321</v>
      </c>
      <c r="C13" s="63" t="s">
        <v>322</v>
      </c>
      <c r="D13" s="63" t="s">
        <v>323</v>
      </c>
    </row>
    <row r="14">
      <c r="A14" s="63" t="s">
        <v>324</v>
      </c>
      <c r="B14" s="63" t="s">
        <v>325</v>
      </c>
      <c r="C14" s="63" t="s">
        <v>326</v>
      </c>
      <c r="D14" s="63" t="s">
        <v>327</v>
      </c>
    </row>
    <row r="15">
      <c r="A15" s="63" t="s">
        <v>328</v>
      </c>
      <c r="B15" s="63" t="s">
        <v>329</v>
      </c>
      <c r="C15" s="63" t="s">
        <v>330</v>
      </c>
      <c r="D15" s="63" t="s">
        <v>331</v>
      </c>
    </row>
    <row r="16">
      <c r="A16" s="63" t="s">
        <v>332</v>
      </c>
      <c r="B16" s="63" t="s">
        <v>313</v>
      </c>
      <c r="C16" s="63"/>
      <c r="D16" s="63" t="s">
        <v>333</v>
      </c>
    </row>
    <row r="17">
      <c r="A17" s="63" t="s">
        <v>334</v>
      </c>
      <c r="B17" s="63" t="s">
        <v>335</v>
      </c>
      <c r="C17" s="63"/>
      <c r="D17" s="63" t="s">
        <v>336</v>
      </c>
    </row>
    <row r="18">
      <c r="A18" s="63" t="s">
        <v>337</v>
      </c>
      <c r="B18" s="63" t="s">
        <v>338</v>
      </c>
      <c r="C18" s="63"/>
      <c r="D18" s="63" t="s">
        <v>339</v>
      </c>
    </row>
    <row r="19">
      <c r="A19" s="63" t="s">
        <v>340</v>
      </c>
      <c r="B19" s="63" t="s">
        <v>341</v>
      </c>
      <c r="C19" s="63"/>
      <c r="D19" s="63" t="s">
        <v>342</v>
      </c>
    </row>
    <row r="20">
      <c r="A20" s="63" t="s">
        <v>343</v>
      </c>
      <c r="B20" s="63" t="s">
        <v>344</v>
      </c>
      <c r="C20" s="63"/>
      <c r="D20" s="63" t="s">
        <v>345</v>
      </c>
    </row>
    <row r="21">
      <c r="A21" s="63" t="s">
        <v>346</v>
      </c>
      <c r="B21" s="63" t="s">
        <v>347</v>
      </c>
      <c r="C21" s="63"/>
      <c r="D21" s="63" t="s">
        <v>348</v>
      </c>
    </row>
    <row r="22">
      <c r="A22" s="63" t="s">
        <v>28</v>
      </c>
      <c r="B22" s="63" t="s">
        <v>349</v>
      </c>
      <c r="C22" s="63"/>
      <c r="D22" s="63" t="s">
        <v>350</v>
      </c>
    </row>
    <row r="23">
      <c r="A23" s="63" t="s">
        <v>351</v>
      </c>
      <c r="B23" s="63" t="s">
        <v>352</v>
      </c>
      <c r="C23" s="63"/>
      <c r="D23" s="63" t="s">
        <v>353</v>
      </c>
    </row>
    <row r="24">
      <c r="A24" s="63" t="s">
        <v>354</v>
      </c>
      <c r="B24" s="63" t="s">
        <v>355</v>
      </c>
      <c r="C24" s="63"/>
      <c r="D24" s="63" t="s">
        <v>356</v>
      </c>
    </row>
    <row r="25">
      <c r="A25" s="63"/>
      <c r="B25" s="63" t="s">
        <v>357</v>
      </c>
      <c r="C25" s="63"/>
      <c r="D25" s="63" t="s">
        <v>358</v>
      </c>
    </row>
    <row r="26">
      <c r="A26" s="63"/>
      <c r="B26" s="63" t="s">
        <v>359</v>
      </c>
      <c r="C26" s="63"/>
      <c r="D26" s="63" t="s">
        <v>360</v>
      </c>
    </row>
    <row r="27">
      <c r="A27" s="63"/>
      <c r="B27" s="63" t="s">
        <v>361</v>
      </c>
      <c r="C27" s="63"/>
      <c r="D27" s="63" t="s">
        <v>362</v>
      </c>
    </row>
    <row r="28">
      <c r="A28" s="63"/>
      <c r="B28" s="63" t="s">
        <v>363</v>
      </c>
      <c r="C28" s="63"/>
      <c r="D28" s="63" t="s">
        <v>364</v>
      </c>
    </row>
    <row r="29">
      <c r="A29" s="63"/>
      <c r="B29" s="63" t="s">
        <v>365</v>
      </c>
      <c r="C29" s="63"/>
      <c r="D29" s="63" t="s">
        <v>366</v>
      </c>
    </row>
    <row r="30">
      <c r="A30" s="63"/>
      <c r="B30" s="63" t="s">
        <v>367</v>
      </c>
      <c r="C30" s="63"/>
      <c r="D30" s="63" t="s">
        <v>368</v>
      </c>
    </row>
    <row r="31">
      <c r="A31" s="63"/>
      <c r="B31" s="63" t="s">
        <v>369</v>
      </c>
      <c r="C31" s="63"/>
      <c r="D31" s="63" t="s">
        <v>370</v>
      </c>
    </row>
    <row r="32">
      <c r="A32" s="63"/>
      <c r="B32" s="63" t="s">
        <v>371</v>
      </c>
      <c r="C32" s="63"/>
      <c r="D32" s="63" t="s">
        <v>372</v>
      </c>
    </row>
    <row r="33">
      <c r="A33" s="63"/>
      <c r="B33" s="63" t="s">
        <v>373</v>
      </c>
      <c r="C33" s="63"/>
      <c r="D33" s="63" t="s">
        <v>374</v>
      </c>
    </row>
    <row r="34">
      <c r="A34" s="63"/>
      <c r="B34" s="63" t="s">
        <v>375</v>
      </c>
      <c r="C34" s="63"/>
      <c r="D34" s="63" t="s">
        <v>376</v>
      </c>
    </row>
    <row r="35">
      <c r="A35" s="63"/>
      <c r="B35" s="63" t="s">
        <v>377</v>
      </c>
      <c r="C35" s="63"/>
      <c r="D35" s="63" t="s">
        <v>378</v>
      </c>
    </row>
    <row r="36">
      <c r="A36" s="63"/>
      <c r="B36" s="63" t="s">
        <v>379</v>
      </c>
      <c r="C36" s="63"/>
      <c r="D36" s="63" t="s">
        <v>380</v>
      </c>
    </row>
    <row r="37">
      <c r="A37" s="63"/>
      <c r="B37" s="63" t="s">
        <v>375</v>
      </c>
      <c r="C37" s="63"/>
      <c r="D37" s="63" t="s">
        <v>381</v>
      </c>
    </row>
    <row r="38">
      <c r="A38" s="63"/>
      <c r="B38" s="63" t="s">
        <v>382</v>
      </c>
      <c r="C38" s="63"/>
      <c r="D38" s="63" t="s">
        <v>383</v>
      </c>
    </row>
    <row r="39">
      <c r="A39" s="63"/>
      <c r="B39" s="63" t="s">
        <v>384</v>
      </c>
      <c r="C39" s="63"/>
      <c r="D39" s="63" t="s">
        <v>385</v>
      </c>
    </row>
    <row r="40">
      <c r="A40" s="63"/>
      <c r="B40" s="63" t="s">
        <v>386</v>
      </c>
      <c r="C40" s="63"/>
      <c r="D40" s="63" t="s">
        <v>387</v>
      </c>
    </row>
    <row r="41">
      <c r="A41" s="63"/>
      <c r="B41" s="63" t="s">
        <v>388</v>
      </c>
      <c r="C41" s="63"/>
      <c r="D41" s="63" t="s">
        <v>389</v>
      </c>
    </row>
    <row r="42">
      <c r="A42" s="63"/>
      <c r="B42" s="63" t="s">
        <v>390</v>
      </c>
      <c r="C42" s="63"/>
      <c r="D42" s="63" t="s">
        <v>391</v>
      </c>
    </row>
    <row r="43">
      <c r="A43" s="63"/>
      <c r="B43" s="63" t="s">
        <v>392</v>
      </c>
      <c r="C43" s="63"/>
      <c r="D43" s="63" t="s">
        <v>393</v>
      </c>
    </row>
    <row r="44">
      <c r="A44" s="63"/>
      <c r="B44" s="63" t="s">
        <v>394</v>
      </c>
      <c r="C44" s="63"/>
      <c r="D44" s="63" t="s">
        <v>395</v>
      </c>
    </row>
    <row r="45">
      <c r="A45" s="63"/>
      <c r="B45" s="63" t="s">
        <v>396</v>
      </c>
      <c r="C45" s="63"/>
      <c r="D45" s="63" t="s">
        <v>397</v>
      </c>
    </row>
    <row r="46">
      <c r="A46" s="63"/>
      <c r="B46" s="63" t="s">
        <v>398</v>
      </c>
      <c r="C46" s="63"/>
      <c r="D46" s="63" t="s">
        <v>399</v>
      </c>
    </row>
    <row r="47">
      <c r="A47" s="63"/>
      <c r="B47" s="63"/>
      <c r="C47" s="63"/>
      <c r="D47" s="63" t="s">
        <v>400</v>
      </c>
    </row>
    <row r="48">
      <c r="A48" s="63"/>
      <c r="B48" s="63"/>
      <c r="C48" s="63"/>
      <c r="D48" s="63" t="s">
        <v>401</v>
      </c>
    </row>
    <row r="49">
      <c r="A49" s="63"/>
      <c r="B49" s="63"/>
      <c r="C49" s="63"/>
      <c r="D49" s="63" t="s">
        <v>402</v>
      </c>
    </row>
    <row r="50">
      <c r="A50" s="63"/>
      <c r="B50" s="63"/>
      <c r="C50" s="63"/>
      <c r="D50" s="63" t="s">
        <v>403</v>
      </c>
    </row>
    <row r="51">
      <c r="A51" s="63"/>
      <c r="B51" s="63"/>
      <c r="C51" s="63"/>
      <c r="D51" s="63" t="s">
        <v>404</v>
      </c>
    </row>
    <row r="52">
      <c r="A52" s="63"/>
      <c r="B52" s="63"/>
      <c r="C52" s="63"/>
      <c r="D52" s="63" t="s">
        <v>405</v>
      </c>
    </row>
    <row r="53">
      <c r="A53" s="63"/>
      <c r="B53" s="63"/>
      <c r="C53" s="63"/>
      <c r="D53" s="63" t="s">
        <v>406</v>
      </c>
    </row>
    <row r="54">
      <c r="A54" s="63"/>
      <c r="B54" s="63"/>
      <c r="C54" s="63"/>
      <c r="D54" s="63" t="s">
        <v>407</v>
      </c>
    </row>
    <row r="55">
      <c r="A55" s="63"/>
      <c r="B55" s="63"/>
      <c r="C55" s="63"/>
      <c r="D55" s="63" t="s">
        <v>408</v>
      </c>
    </row>
    <row r="56">
      <c r="A56" s="63"/>
      <c r="B56" s="63"/>
      <c r="C56" s="63"/>
      <c r="D56" s="63" t="s">
        <v>409</v>
      </c>
    </row>
    <row r="57">
      <c r="A57" s="63"/>
      <c r="B57" s="63"/>
      <c r="C57" s="63"/>
      <c r="D57" s="63" t="s">
        <v>410</v>
      </c>
    </row>
    <row r="58">
      <c r="A58" s="63"/>
      <c r="B58" s="63"/>
      <c r="C58" s="63"/>
      <c r="D58" s="63" t="s">
        <v>411</v>
      </c>
    </row>
    <row r="59">
      <c r="A59" s="63"/>
      <c r="B59" s="63"/>
      <c r="C59" s="63"/>
      <c r="D59" s="63" t="s">
        <v>412</v>
      </c>
    </row>
    <row r="60">
      <c r="A60" s="63"/>
      <c r="B60" s="63"/>
      <c r="C60" s="63"/>
      <c r="D60" s="63" t="s">
        <v>413</v>
      </c>
    </row>
    <row r="61">
      <c r="A61" s="63"/>
      <c r="B61" s="63"/>
      <c r="C61" s="63"/>
      <c r="D61" s="63" t="s">
        <v>414</v>
      </c>
    </row>
    <row r="62">
      <c r="A62" s="63"/>
      <c r="B62" s="63"/>
      <c r="C62" s="63"/>
      <c r="D62" s="63" t="s">
        <v>415</v>
      </c>
    </row>
    <row r="63">
      <c r="A63" s="63"/>
      <c r="B63" s="63"/>
      <c r="C63" s="63"/>
      <c r="D63" s="63" t="s">
        <v>416</v>
      </c>
    </row>
    <row r="64">
      <c r="A64" s="63"/>
      <c r="B64" s="63"/>
      <c r="C64" s="63"/>
      <c r="D64" s="63" t="s">
        <v>417</v>
      </c>
    </row>
    <row r="65">
      <c r="A65" s="63"/>
      <c r="B65" s="63"/>
      <c r="C65" s="63"/>
      <c r="D65" s="63" t="s">
        <v>418</v>
      </c>
    </row>
    <row r="66">
      <c r="A66" s="63"/>
      <c r="B66" s="63"/>
      <c r="C66" s="63"/>
      <c r="D66" s="63" t="s">
        <v>419</v>
      </c>
    </row>
    <row r="67">
      <c r="A67" s="63"/>
      <c r="B67" s="63"/>
      <c r="C67" s="63"/>
      <c r="D67" s="63" t="s">
        <v>420</v>
      </c>
    </row>
    <row r="68">
      <c r="A68" s="63"/>
      <c r="B68" s="63"/>
      <c r="C68" s="63"/>
      <c r="D68" s="63" t="s">
        <v>421</v>
      </c>
    </row>
  </sheetData>
  <drawing r:id="rId1"/>
</worksheet>
</file>