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Anton\OneDrive\TRPG\ZZ_TOOLS\Новая папка\"/>
    </mc:Choice>
  </mc:AlternateContent>
  <xr:revisionPtr revIDLastSave="0" documentId="11_DA2DEC03899AEA3ACCE2B4312DAA0AF8FA59E47A" xr6:coauthVersionLast="32" xr6:coauthVersionMax="32" xr10:uidLastSave="{00000000-0000-0000-0000-000000000000}"/>
  <bookViews>
    <workbookView xWindow="0" yWindow="0" windowWidth="20490" windowHeight="6630" activeTab="3" xr2:uid="{00000000-000D-0000-FFFF-FFFF00000000}"/>
  </bookViews>
  <sheets>
    <sheet name="Статистика" sheetId="1" r:id="rId1"/>
    <sheet name="Экономика" sheetId="4" r:id="rId2"/>
    <sheet name="Аркуш1" sheetId="5" r:id="rId3"/>
    <sheet name="Налоги" sheetId="2" r:id="rId4"/>
    <sheet name="Бюджет" sheetId="3" r:id="rId5"/>
    <sheet name="Аркуш2" sheetId="6" r:id="rId6"/>
    <sheet name="Аркуш3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J4" i="7" l="1"/>
  <c r="J5" i="7"/>
  <c r="J6" i="7"/>
  <c r="J7" i="7"/>
  <c r="J8" i="7"/>
  <c r="J9" i="7"/>
  <c r="J3" i="7"/>
  <c r="L5" i="7" s="1"/>
  <c r="I8" i="7"/>
  <c r="J10" i="7" l="1"/>
  <c r="H15" i="4"/>
  <c r="D21" i="3" l="1"/>
  <c r="B7" i="3" l="1"/>
  <c r="F14" i="3"/>
  <c r="K13" i="4"/>
  <c r="K12" i="4"/>
  <c r="K11" i="4"/>
  <c r="K10" i="4"/>
  <c r="K9" i="4"/>
  <c r="K8" i="4"/>
  <c r="K7" i="4"/>
  <c r="K6" i="4"/>
  <c r="K5" i="4"/>
  <c r="H9" i="5"/>
  <c r="F9" i="3"/>
  <c r="F17" i="3" s="1"/>
  <c r="F8" i="3"/>
  <c r="F7" i="3"/>
  <c r="B5" i="3"/>
  <c r="H8" i="5"/>
  <c r="H7" i="5"/>
  <c r="H6" i="5"/>
  <c r="H4" i="5"/>
  <c r="H3" i="5"/>
  <c r="G5" i="5"/>
  <c r="H5" i="5" s="1"/>
  <c r="E9" i="5"/>
  <c r="E8" i="5"/>
  <c r="E7" i="5"/>
  <c r="E6" i="5"/>
  <c r="E5" i="5"/>
  <c r="E4" i="5"/>
  <c r="E3" i="5"/>
  <c r="K15" i="4" l="1"/>
  <c r="H10" i="5"/>
  <c r="D8" i="4"/>
  <c r="D5" i="4" s="1"/>
  <c r="I5" i="4" s="1"/>
  <c r="D7" i="4"/>
  <c r="G7" i="4"/>
  <c r="G10" i="4"/>
  <c r="F15" i="4"/>
  <c r="I13" i="4"/>
  <c r="J13" i="4"/>
  <c r="N13" i="4" s="1"/>
  <c r="N15" i="4" s="1"/>
  <c r="J12" i="4"/>
  <c r="I12" i="4"/>
  <c r="D11" i="4"/>
  <c r="I11" i="4" s="1"/>
  <c r="D10" i="4"/>
  <c r="D9" i="4"/>
  <c r="G9" i="4"/>
  <c r="R2" i="4"/>
  <c r="J5" i="4"/>
  <c r="J8" i="4"/>
  <c r="I8" i="4"/>
  <c r="M8" i="4" s="1"/>
  <c r="J6" i="4"/>
  <c r="D6" i="4"/>
  <c r="I6" i="4" s="1"/>
  <c r="J11" i="4" l="1"/>
  <c r="L11" i="4" s="1"/>
  <c r="M11" i="4"/>
  <c r="I9" i="4"/>
  <c r="M9" i="4" s="1"/>
  <c r="O8" i="4"/>
  <c r="O15" i="4" s="1"/>
  <c r="L8" i="4"/>
  <c r="M6" i="4"/>
  <c r="L6" i="4"/>
  <c r="L5" i="4"/>
  <c r="L13" i="4"/>
  <c r="L12" i="4"/>
  <c r="M5" i="4"/>
  <c r="E5" i="4"/>
  <c r="I7" i="4"/>
  <c r="J7" i="4" s="1"/>
  <c r="B6" i="3" s="1"/>
  <c r="B17" i="3" s="1"/>
  <c r="H17" i="3" s="1"/>
  <c r="I10" i="4"/>
  <c r="J10" i="4" s="1"/>
  <c r="L10" i="4" s="1"/>
  <c r="J9" i="4"/>
  <c r="L9" i="4" s="1"/>
  <c r="G8" i="4"/>
  <c r="C5" i="1"/>
  <c r="C6" i="1"/>
  <c r="C9" i="1" s="1"/>
  <c r="C7" i="1"/>
  <c r="C8" i="1"/>
  <c r="C10" i="1" l="1"/>
  <c r="J15" i="4"/>
  <c r="I15" i="4"/>
  <c r="L7" i="4"/>
  <c r="L15" i="4" s="1"/>
  <c r="M7" i="4"/>
  <c r="M15" i="4" s="1"/>
  <c r="M10" i="4"/>
</calcChain>
</file>

<file path=xl/sharedStrings.xml><?xml version="1.0" encoding="utf-8"?>
<sst xmlns="http://schemas.openxmlformats.org/spreadsheetml/2006/main" count="144" uniqueCount="129">
  <si>
    <t>Профессии</t>
  </si>
  <si>
    <t>Дженаси</t>
  </si>
  <si>
    <t>Полуорки</t>
  </si>
  <si>
    <t>Халфлинг</t>
  </si>
  <si>
    <t>Гномы</t>
  </si>
  <si>
    <t>Люди</t>
  </si>
  <si>
    <t>Сырный завод</t>
  </si>
  <si>
    <t>Расы</t>
  </si>
  <si>
    <t>Лесопилка</t>
  </si>
  <si>
    <r>
      <t>Society</t>
    </r>
    <r>
      <rPr>
        <sz val="12"/>
        <color rgb="FF000000"/>
        <rFont val="Arial"/>
        <family val="2"/>
        <charset val="204"/>
      </rPr>
      <t> </t>
    </r>
  </si>
  <si>
    <r>
      <t>Lore</t>
    </r>
    <r>
      <rPr>
        <sz val="12"/>
        <color rgb="FF000000"/>
        <rFont val="Arial"/>
        <family val="2"/>
        <charset val="204"/>
      </rPr>
      <t> </t>
    </r>
  </si>
  <si>
    <r>
      <t>Law</t>
    </r>
    <r>
      <rPr>
        <sz val="12"/>
        <color rgb="FF000000"/>
        <rFont val="Arial"/>
        <family val="2"/>
        <charset val="204"/>
      </rPr>
      <t> </t>
    </r>
  </si>
  <si>
    <r>
      <t>Economy</t>
    </r>
    <r>
      <rPr>
        <sz val="12"/>
        <color rgb="FF000000"/>
        <rFont val="Arial"/>
        <family val="2"/>
        <charset val="204"/>
      </rPr>
      <t> </t>
    </r>
  </si>
  <si>
    <r>
      <t>Corruption</t>
    </r>
    <r>
      <rPr>
        <sz val="12"/>
        <color rgb="FF000000"/>
        <rFont val="Arial"/>
        <family val="2"/>
        <charset val="204"/>
      </rPr>
      <t> </t>
    </r>
  </si>
  <si>
    <r>
      <t>Crime</t>
    </r>
    <r>
      <rPr>
        <sz val="12"/>
        <color rgb="FF000000"/>
        <rFont val="Arial"/>
        <family val="2"/>
        <charset val="204"/>
      </rPr>
      <t> </t>
    </r>
  </si>
  <si>
    <t>Экспорт</t>
  </si>
  <si>
    <t>Импорт</t>
  </si>
  <si>
    <t>Рентабельность</t>
  </si>
  <si>
    <t>Месячные затраты</t>
  </si>
  <si>
    <t>Месячный доход</t>
  </si>
  <si>
    <t>Количество персонала</t>
  </si>
  <si>
    <t>Продуктивность</t>
  </si>
  <si>
    <t>Что производит</t>
  </si>
  <si>
    <t>Название</t>
  </si>
  <si>
    <t>№</t>
  </si>
  <si>
    <t>Население</t>
  </si>
  <si>
    <t>Основные производства</t>
  </si>
  <si>
    <t>Гленарм</t>
  </si>
  <si>
    <t>Ежегодный налог с фермеров</t>
  </si>
  <si>
    <t>Единица</t>
  </si>
  <si>
    <t>ферма</t>
  </si>
  <si>
    <t>размер</t>
  </si>
  <si>
    <t>Периодичность</t>
  </si>
  <si>
    <t>год</t>
  </si>
  <si>
    <t>Время уплаты</t>
  </si>
  <si>
    <t>30 сентября</t>
  </si>
  <si>
    <t>Бюджет</t>
  </si>
  <si>
    <t>Фермеры</t>
  </si>
  <si>
    <t>Лесорубы</t>
  </si>
  <si>
    <t>Сыроделы</t>
  </si>
  <si>
    <t>Медная шахта</t>
  </si>
  <si>
    <t>медная руда</t>
  </si>
  <si>
    <t>сыр</t>
  </si>
  <si>
    <t>доски</t>
  </si>
  <si>
    <t>Лагерь лесорубов</t>
  </si>
  <si>
    <t>бревна</t>
  </si>
  <si>
    <t>Цена</t>
  </si>
  <si>
    <t>Льняные поля</t>
  </si>
  <si>
    <t>Зерновые культуры</t>
  </si>
  <si>
    <t>Оценка</t>
  </si>
  <si>
    <t>Всего</t>
  </si>
  <si>
    <t>рыболовля</t>
  </si>
  <si>
    <t>Рынок услуг</t>
  </si>
  <si>
    <t>Торговля</t>
  </si>
  <si>
    <t>Прирост</t>
  </si>
  <si>
    <t>Продуктивность 1 человека в день</t>
  </si>
  <si>
    <t>Доходы</t>
  </si>
  <si>
    <t>Расходы</t>
  </si>
  <si>
    <t>Содержание здания Городского Совета*</t>
  </si>
  <si>
    <t>Средняя зарплата</t>
  </si>
  <si>
    <t>Lifestyle</t>
  </si>
  <si>
    <t>Price, gp per day</t>
  </si>
  <si>
    <t>в империалах</t>
  </si>
  <si>
    <t>Inn stay</t>
  </si>
  <si>
    <t>Wretched</t>
  </si>
  <si>
    <t>Никудышный</t>
  </si>
  <si>
    <t>Squalid</t>
  </si>
  <si>
    <t>Нищенский</t>
  </si>
  <si>
    <t>Poor</t>
  </si>
  <si>
    <t>Бедное</t>
  </si>
  <si>
    <t>Modest</t>
  </si>
  <si>
    <t>Скромное</t>
  </si>
  <si>
    <t>Comfortable</t>
  </si>
  <si>
    <t>Комфортное</t>
  </si>
  <si>
    <t>Wealthy</t>
  </si>
  <si>
    <t>Богатое</t>
  </si>
  <si>
    <t>Aristocratic</t>
  </si>
  <si>
    <t>Аристократическое</t>
  </si>
  <si>
    <t>Трудоспособного по коэффициенту 1</t>
  </si>
  <si>
    <t>Налог с продаж</t>
  </si>
  <si>
    <t>империал</t>
  </si>
  <si>
    <t>ежемесячно</t>
  </si>
  <si>
    <t>до конца следующего месяца</t>
  </si>
  <si>
    <t>Магический телеграф</t>
  </si>
  <si>
    <t>Продажи</t>
  </si>
  <si>
    <t>Жалование Городского Совета</t>
  </si>
  <si>
    <t>Обслуживание городской инфраструктуры (мосты)</t>
  </si>
  <si>
    <t>Аппарат городской администрации</t>
  </si>
  <si>
    <t>Содержание храма</t>
  </si>
  <si>
    <t xml:space="preserve">Проведение праздников </t>
  </si>
  <si>
    <t>Помощь малоимущим</t>
  </si>
  <si>
    <t>Организация похорон малоимущих</t>
  </si>
  <si>
    <t>Оценка доходо</t>
  </si>
  <si>
    <t>ФОТ</t>
  </si>
  <si>
    <t>Подушный налог</t>
  </si>
  <si>
    <t>человек</t>
  </si>
  <si>
    <t>Налог с таверн</t>
  </si>
  <si>
    <t>таверна</t>
  </si>
  <si>
    <t>Налог на работников</t>
  </si>
  <si>
    <t>Налог на лошадей</t>
  </si>
  <si>
    <t>Налог на дома</t>
  </si>
  <si>
    <t>дом</t>
  </si>
  <si>
    <t>лошадь</t>
  </si>
  <si>
    <t>Отчисления в центральный бюджет</t>
  </si>
  <si>
    <t>ЦБ</t>
  </si>
  <si>
    <t>farm</t>
  </si>
  <si>
    <t>house</t>
  </si>
  <si>
    <t>brewery</t>
  </si>
  <si>
    <t>tavern</t>
  </si>
  <si>
    <t>shop</t>
  </si>
  <si>
    <t>shoemaker</t>
  </si>
  <si>
    <t>Выплаты отцам основателям</t>
  </si>
  <si>
    <t>Стража Гленарма</t>
  </si>
  <si>
    <t>Beasley Грейсон фон Карлайл</t>
  </si>
  <si>
    <t>Avellana Ночной Ветер</t>
  </si>
  <si>
    <t>Сойер Финнбер</t>
  </si>
  <si>
    <t>Shorkum</t>
  </si>
  <si>
    <t>Bothark</t>
  </si>
  <si>
    <t>Bathaga</t>
  </si>
  <si>
    <t>Yagarkha</t>
  </si>
  <si>
    <t>Ghorlarub</t>
  </si>
  <si>
    <t>Комплект летней формы</t>
  </si>
  <si>
    <t>Комплект зимней формы</t>
  </si>
  <si>
    <t>Кольчуга</t>
  </si>
  <si>
    <t>chain shirt</t>
  </si>
  <si>
    <t>Булава</t>
  </si>
  <si>
    <t>Пистоль</t>
  </si>
  <si>
    <t>Кобура</t>
  </si>
  <si>
    <t>Патроны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</si>
</sst>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workbookViewId="0">
      <selection activeCell="F10" sqref="A1:G10"/>
    </sheetView>
  </sheetViews>
  <sheetFormatPr defaultRowHeight="15" x14ac:dyDescent="0.25"/>
  <sheetData>
    <row r="1" spans="1:20" x14ac:dyDescent="0.25">
      <c r="A1" t="s">
        <v>27</v>
      </c>
    </row>
    <row r="2" spans="1:20" ht="15.75" x14ac:dyDescent="0.25">
      <c r="A2" t="s">
        <v>25</v>
      </c>
      <c r="B2">
        <v>5243</v>
      </c>
      <c r="C2" t="s">
        <v>78</v>
      </c>
      <c r="D2">
        <f>ROUND(0.6*B2,0)</f>
        <v>3146</v>
      </c>
      <c r="O2" s="2" t="s">
        <v>14</v>
      </c>
      <c r="P2" s="2" t="s">
        <v>13</v>
      </c>
      <c r="Q2" s="2" t="s">
        <v>12</v>
      </c>
      <c r="R2" s="2" t="s">
        <v>11</v>
      </c>
      <c r="S2" s="2" t="s">
        <v>10</v>
      </c>
      <c r="T2" s="2" t="s">
        <v>9</v>
      </c>
    </row>
    <row r="4" spans="1:20" x14ac:dyDescent="0.25">
      <c r="A4" s="9" t="s">
        <v>7</v>
      </c>
      <c r="B4" s="9"/>
      <c r="C4" s="9"/>
      <c r="E4" s="9" t="s">
        <v>0</v>
      </c>
      <c r="F4" s="9"/>
      <c r="G4" s="9"/>
    </row>
    <row r="5" spans="1:20" x14ac:dyDescent="0.25">
      <c r="A5" t="s">
        <v>5</v>
      </c>
      <c r="B5" s="1">
        <v>0.75</v>
      </c>
      <c r="C5">
        <f>ROUNDDOWN(B5*$B$2,0)</f>
        <v>3932</v>
      </c>
      <c r="E5" t="s">
        <v>37</v>
      </c>
    </row>
    <row r="6" spans="1:20" x14ac:dyDescent="0.25">
      <c r="A6" t="s">
        <v>4</v>
      </c>
      <c r="B6" s="1">
        <v>0.1</v>
      </c>
      <c r="C6">
        <f>ROUNDDOWN(B6*$B$2,0)</f>
        <v>524</v>
      </c>
      <c r="E6" t="s">
        <v>38</v>
      </c>
    </row>
    <row r="7" spans="1:20" x14ac:dyDescent="0.25">
      <c r="A7" t="s">
        <v>3</v>
      </c>
      <c r="B7" s="1">
        <v>0.08</v>
      </c>
      <c r="C7">
        <f>ROUNDDOWN(B7*$B$2,0)</f>
        <v>419</v>
      </c>
      <c r="E7" t="s">
        <v>39</v>
      </c>
    </row>
    <row r="8" spans="1:20" x14ac:dyDescent="0.25">
      <c r="A8" t="s">
        <v>2</v>
      </c>
      <c r="B8" s="1">
        <v>0.03</v>
      </c>
      <c r="C8">
        <f>ROUNDDOWN(B8*$B$2,0)</f>
        <v>157</v>
      </c>
    </row>
    <row r="9" spans="1:20" x14ac:dyDescent="0.25">
      <c r="A9" t="s">
        <v>1</v>
      </c>
      <c r="B9" s="1">
        <v>0.02</v>
      </c>
      <c r="C9">
        <f>B2-C5-C6-C7-C8</f>
        <v>211</v>
      </c>
    </row>
    <row r="10" spans="1:20" x14ac:dyDescent="0.25">
      <c r="C10">
        <f>B2-SUM(C5:C9)</f>
        <v>0</v>
      </c>
    </row>
  </sheetData>
  <mergeCells count="2">
    <mergeCell ref="A4:C4"/>
    <mergeCell ref="E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A2" sqref="A2:R15"/>
    </sheetView>
  </sheetViews>
  <sheetFormatPr defaultRowHeight="15" x14ac:dyDescent="0.25"/>
  <sheetData>
    <row r="2" spans="1:18" x14ac:dyDescent="0.25">
      <c r="B2" t="s">
        <v>26</v>
      </c>
      <c r="Q2" t="s">
        <v>49</v>
      </c>
      <c r="R2">
        <f>5243*1000*0.6</f>
        <v>3145800</v>
      </c>
    </row>
    <row r="4" spans="1:18" x14ac:dyDescent="0.25">
      <c r="A4" s="8" t="s">
        <v>24</v>
      </c>
      <c r="B4" s="8" t="s">
        <v>23</v>
      </c>
      <c r="C4" s="8" t="s">
        <v>22</v>
      </c>
      <c r="D4" s="8" t="s">
        <v>21</v>
      </c>
      <c r="E4" s="8" t="s">
        <v>55</v>
      </c>
      <c r="F4" s="8" t="s">
        <v>20</v>
      </c>
      <c r="G4" s="8" t="s">
        <v>46</v>
      </c>
      <c r="H4" s="8" t="s">
        <v>59</v>
      </c>
      <c r="I4" s="8" t="s">
        <v>19</v>
      </c>
      <c r="J4" s="8" t="s">
        <v>18</v>
      </c>
      <c r="K4" s="8" t="s">
        <v>93</v>
      </c>
      <c r="L4" s="8" t="s">
        <v>17</v>
      </c>
      <c r="M4" s="8" t="s">
        <v>54</v>
      </c>
      <c r="N4" s="8" t="s">
        <v>16</v>
      </c>
      <c r="O4" s="8" t="s">
        <v>15</v>
      </c>
    </row>
    <row r="5" spans="1:18" x14ac:dyDescent="0.25">
      <c r="A5" s="8">
        <v>1</v>
      </c>
      <c r="B5" s="8" t="s">
        <v>8</v>
      </c>
      <c r="C5" s="8" t="s">
        <v>43</v>
      </c>
      <c r="D5" s="8">
        <f>D8*2</f>
        <v>60000</v>
      </c>
      <c r="E5" s="8">
        <f>D5/F5/30</f>
        <v>20</v>
      </c>
      <c r="F5" s="8">
        <v>100</v>
      </c>
      <c r="G5" s="8">
        <v>1</v>
      </c>
      <c r="H5" s="8">
        <v>400</v>
      </c>
      <c r="I5" s="8">
        <f>D5*G5</f>
        <v>60000</v>
      </c>
      <c r="J5" s="8">
        <f>500*F5</f>
        <v>50000</v>
      </c>
      <c r="K5" s="8">
        <f>H5*F5</f>
        <v>40000</v>
      </c>
      <c r="L5" s="8">
        <f t="shared" ref="L5:L13" si="0">(I5-J5)/I5</f>
        <v>0.16666666666666666</v>
      </c>
      <c r="M5" s="8">
        <f>I5</f>
        <v>60000</v>
      </c>
      <c r="N5" s="8"/>
      <c r="O5" s="8"/>
    </row>
    <row r="6" spans="1:18" x14ac:dyDescent="0.25">
      <c r="A6" s="8">
        <v>2</v>
      </c>
      <c r="B6" s="8" t="s">
        <v>6</v>
      </c>
      <c r="C6" s="8" t="s">
        <v>42</v>
      </c>
      <c r="D6" s="8">
        <f>F6*4*30</f>
        <v>12000</v>
      </c>
      <c r="E6" s="8">
        <v>4</v>
      </c>
      <c r="F6" s="8">
        <v>100</v>
      </c>
      <c r="G6" s="8">
        <v>5</v>
      </c>
      <c r="H6" s="8">
        <v>400</v>
      </c>
      <c r="I6" s="8">
        <f>D6*G6</f>
        <v>60000</v>
      </c>
      <c r="J6" s="8">
        <f>F6*400</f>
        <v>40000</v>
      </c>
      <c r="K6" s="8">
        <f t="shared" ref="K6:K13" si="1">H6*F6</f>
        <v>40000</v>
      </c>
      <c r="L6" s="8">
        <f t="shared" si="0"/>
        <v>0.33333333333333331</v>
      </c>
      <c r="M6" s="8">
        <f>I6*0.6</f>
        <v>36000</v>
      </c>
      <c r="N6" s="8"/>
      <c r="O6" s="8"/>
    </row>
    <row r="7" spans="1:18" x14ac:dyDescent="0.25">
      <c r="A7" s="8">
        <v>3</v>
      </c>
      <c r="B7" s="8" t="s">
        <v>40</v>
      </c>
      <c r="C7" s="8" t="s">
        <v>41</v>
      </c>
      <c r="D7" s="8">
        <f>20*F7*30</f>
        <v>180000</v>
      </c>
      <c r="E7" s="8">
        <v>20</v>
      </c>
      <c r="F7" s="8">
        <v>300</v>
      </c>
      <c r="G7" s="8">
        <f>0.2*5*2.5</f>
        <v>2.5</v>
      </c>
      <c r="H7" s="8">
        <v>500</v>
      </c>
      <c r="I7" s="8">
        <f>D7*G7</f>
        <v>450000</v>
      </c>
      <c r="J7" s="8">
        <f>500*F7*2+0.2*I7</f>
        <v>390000</v>
      </c>
      <c r="K7" s="8">
        <f t="shared" si="1"/>
        <v>150000</v>
      </c>
      <c r="L7" s="8">
        <f t="shared" si="0"/>
        <v>0.13333333333333333</v>
      </c>
      <c r="M7" s="8">
        <f>I7*0.5</f>
        <v>225000</v>
      </c>
      <c r="N7" s="8"/>
      <c r="O7" s="8"/>
    </row>
    <row r="8" spans="1:18" x14ac:dyDescent="0.25">
      <c r="A8" s="8">
        <v>4</v>
      </c>
      <c r="B8" s="8" t="s">
        <v>44</v>
      </c>
      <c r="C8" s="8" t="s">
        <v>45</v>
      </c>
      <c r="D8" s="8">
        <f>30*E8*F8</f>
        <v>30000</v>
      </c>
      <c r="E8" s="8">
        <v>5</v>
      </c>
      <c r="F8" s="8">
        <v>200</v>
      </c>
      <c r="G8" s="8">
        <f>I8/D8</f>
        <v>6.666666666666667</v>
      </c>
      <c r="H8" s="8">
        <v>400</v>
      </c>
      <c r="I8" s="8">
        <f>F8*500*2</f>
        <v>200000</v>
      </c>
      <c r="J8" s="8">
        <f>F8*400*1.4</f>
        <v>112000</v>
      </c>
      <c r="K8" s="8">
        <f t="shared" si="1"/>
        <v>80000</v>
      </c>
      <c r="L8" s="8">
        <f t="shared" si="0"/>
        <v>0.44</v>
      </c>
      <c r="M8" s="8">
        <f>I8</f>
        <v>200000</v>
      </c>
      <c r="N8" s="8"/>
      <c r="O8" s="8">
        <f>I8</f>
        <v>200000</v>
      </c>
    </row>
    <row r="9" spans="1:18" x14ac:dyDescent="0.25">
      <c r="A9" s="8">
        <v>5</v>
      </c>
      <c r="B9" s="8" t="s">
        <v>47</v>
      </c>
      <c r="C9" s="8"/>
      <c r="D9" s="8">
        <f>5*365*F9/12</f>
        <v>121666.66666666667</v>
      </c>
      <c r="E9" s="8"/>
      <c r="F9" s="8">
        <v>800</v>
      </c>
      <c r="G9" s="8">
        <f>6</f>
        <v>6</v>
      </c>
      <c r="H9" s="8">
        <v>450</v>
      </c>
      <c r="I9" s="8">
        <f>G9*D9</f>
        <v>730000</v>
      </c>
      <c r="J9" s="8">
        <f>F9*400+I9*0.3</f>
        <v>539000</v>
      </c>
      <c r="K9" s="8">
        <f t="shared" si="1"/>
        <v>360000</v>
      </c>
      <c r="L9" s="8">
        <f t="shared" si="0"/>
        <v>0.26164383561643834</v>
      </c>
      <c r="M9" s="8">
        <f>I9*0.4</f>
        <v>292000</v>
      </c>
      <c r="N9" s="8"/>
      <c r="O9" s="8"/>
    </row>
    <row r="10" spans="1:18" x14ac:dyDescent="0.25">
      <c r="A10" s="8">
        <v>6</v>
      </c>
      <c r="B10" s="8" t="s">
        <v>48</v>
      </c>
      <c r="C10" s="8"/>
      <c r="D10" s="8">
        <f>10*365*F10/12</f>
        <v>608333.33333333337</v>
      </c>
      <c r="E10" s="8"/>
      <c r="F10" s="8">
        <v>2000</v>
      </c>
      <c r="G10" s="8">
        <f>1*2.5</f>
        <v>2.5</v>
      </c>
      <c r="H10" s="8">
        <v>450</v>
      </c>
      <c r="I10" s="8">
        <f>G10*D10</f>
        <v>1520833.3333333335</v>
      </c>
      <c r="J10" s="8">
        <f>F10*400+I10*0.3</f>
        <v>1256250</v>
      </c>
      <c r="K10" s="8">
        <f t="shared" si="1"/>
        <v>900000</v>
      </c>
      <c r="L10" s="8">
        <f t="shared" si="0"/>
        <v>0.17397260273972612</v>
      </c>
      <c r="M10" s="8">
        <f>I10*0.2</f>
        <v>304166.66666666669</v>
      </c>
      <c r="N10" s="8"/>
      <c r="O10" s="8"/>
    </row>
    <row r="11" spans="1:18" x14ac:dyDescent="0.25">
      <c r="A11" s="8">
        <v>7</v>
      </c>
      <c r="B11" s="8" t="s">
        <v>51</v>
      </c>
      <c r="C11" s="8"/>
      <c r="D11" s="8">
        <f>F11*10*30</f>
        <v>30000</v>
      </c>
      <c r="E11" s="8"/>
      <c r="F11" s="8">
        <v>100</v>
      </c>
      <c r="G11" s="8">
        <v>10</v>
      </c>
      <c r="H11" s="8">
        <v>400</v>
      </c>
      <c r="I11" s="8">
        <f>G11*D11</f>
        <v>300000</v>
      </c>
      <c r="J11" s="8">
        <f>F11*500+I11*0.3</f>
        <v>140000</v>
      </c>
      <c r="K11" s="8">
        <f t="shared" si="1"/>
        <v>40000</v>
      </c>
      <c r="L11" s="8">
        <f t="shared" si="0"/>
        <v>0.53333333333333333</v>
      </c>
      <c r="M11" s="8">
        <f>I11*0.2</f>
        <v>60000</v>
      </c>
      <c r="N11" s="8">
        <v>0</v>
      </c>
      <c r="O11" s="8">
        <v>0</v>
      </c>
    </row>
    <row r="12" spans="1:18" x14ac:dyDescent="0.25">
      <c r="A12" s="8">
        <v>8</v>
      </c>
      <c r="B12" s="8" t="s">
        <v>52</v>
      </c>
      <c r="C12" s="8"/>
      <c r="D12" s="8"/>
      <c r="E12" s="8"/>
      <c r="F12" s="8">
        <v>700</v>
      </c>
      <c r="G12" s="8"/>
      <c r="H12" s="8">
        <v>400</v>
      </c>
      <c r="I12" s="8">
        <f>F12*700</f>
        <v>490000</v>
      </c>
      <c r="J12" s="8">
        <f>F12*300</f>
        <v>210000</v>
      </c>
      <c r="K12" s="8">
        <f t="shared" si="1"/>
        <v>280000</v>
      </c>
      <c r="L12" s="8">
        <f t="shared" si="0"/>
        <v>0.5714285714285714</v>
      </c>
      <c r="M12" s="8">
        <v>0</v>
      </c>
      <c r="N12" s="8"/>
      <c r="O12" s="8"/>
    </row>
    <row r="13" spans="1:18" x14ac:dyDescent="0.25">
      <c r="A13" s="8">
        <v>9</v>
      </c>
      <c r="B13" s="8" t="s">
        <v>53</v>
      </c>
      <c r="C13" s="8"/>
      <c r="D13" s="8"/>
      <c r="E13" s="8"/>
      <c r="F13" s="8">
        <v>250</v>
      </c>
      <c r="G13" s="8"/>
      <c r="H13" s="8">
        <v>600</v>
      </c>
      <c r="I13" s="8">
        <f>F13*600*1.6</f>
        <v>240000</v>
      </c>
      <c r="J13" s="8">
        <f>F13*600</f>
        <v>150000</v>
      </c>
      <c r="K13" s="8">
        <f t="shared" si="1"/>
        <v>150000</v>
      </c>
      <c r="L13" s="8">
        <f t="shared" si="0"/>
        <v>0.375</v>
      </c>
      <c r="M13" s="8"/>
      <c r="N13" s="8">
        <f>J13</f>
        <v>150000</v>
      </c>
      <c r="O13" s="8"/>
    </row>
    <row r="14" spans="1:18" x14ac:dyDescent="0.25">
      <c r="A14" s="8" t="s">
        <v>50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8" x14ac:dyDescent="0.25">
      <c r="A15" s="8"/>
      <c r="B15" s="8"/>
      <c r="C15" s="8"/>
      <c r="D15" s="8"/>
      <c r="E15" s="8"/>
      <c r="F15" s="8">
        <f>SUM(F5:F14)</f>
        <v>4550</v>
      </c>
      <c r="G15" s="8"/>
      <c r="H15" s="8">
        <f t="shared" ref="H15:O15" si="2">SUM(H5:H14)</f>
        <v>4000</v>
      </c>
      <c r="I15" s="8">
        <f t="shared" si="2"/>
        <v>4050833.3333333335</v>
      </c>
      <c r="J15" s="8">
        <f t="shared" si="2"/>
        <v>2887250</v>
      </c>
      <c r="K15" s="8">
        <f t="shared" si="2"/>
        <v>2040000</v>
      </c>
      <c r="L15" s="8">
        <f t="shared" si="2"/>
        <v>2.9887116764514028</v>
      </c>
      <c r="M15" s="8">
        <f t="shared" si="2"/>
        <v>1177166.6666666667</v>
      </c>
      <c r="N15" s="8">
        <f t="shared" si="2"/>
        <v>150000</v>
      </c>
      <c r="O15" s="8">
        <f t="shared" si="2"/>
        <v>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H10" sqref="A1:H10"/>
    </sheetView>
  </sheetViews>
  <sheetFormatPr defaultRowHeight="15" x14ac:dyDescent="0.25"/>
  <sheetData>
    <row r="1" spans="1:8" x14ac:dyDescent="0.25">
      <c r="H1" t="s">
        <v>92</v>
      </c>
    </row>
    <row r="2" spans="1:8" x14ac:dyDescent="0.25">
      <c r="A2" s="3" t="s">
        <v>60</v>
      </c>
      <c r="B2" s="3" t="s">
        <v>61</v>
      </c>
      <c r="C2" s="3" t="s">
        <v>62</v>
      </c>
      <c r="D2" s="4" t="s">
        <v>63</v>
      </c>
      <c r="E2" s="5" t="s">
        <v>62</v>
      </c>
    </row>
    <row r="3" spans="1:8" x14ac:dyDescent="0.25">
      <c r="A3" s="6" t="s">
        <v>64</v>
      </c>
      <c r="B3" s="3"/>
      <c r="C3" s="3"/>
      <c r="D3" s="3">
        <v>0.1</v>
      </c>
      <c r="E3" s="3">
        <f>D3*10</f>
        <v>1</v>
      </c>
      <c r="F3" t="s">
        <v>65</v>
      </c>
      <c r="G3" s="1">
        <v>0.05</v>
      </c>
      <c r="H3">
        <f>G3*C3*Статистика!$B$2*30</f>
        <v>0</v>
      </c>
    </row>
    <row r="4" spans="1:8" x14ac:dyDescent="0.25">
      <c r="A4" s="6" t="s">
        <v>66</v>
      </c>
      <c r="B4" s="7">
        <v>0.2</v>
      </c>
      <c r="C4" s="7">
        <v>2</v>
      </c>
      <c r="D4" s="7">
        <v>0.5</v>
      </c>
      <c r="E4" s="7">
        <f t="shared" ref="E4:E9" si="0">D4*10</f>
        <v>5</v>
      </c>
      <c r="F4" t="s">
        <v>67</v>
      </c>
      <c r="G4" s="1">
        <v>0.15</v>
      </c>
      <c r="H4">
        <f>G4*C4*Статистика!$B$2*30</f>
        <v>47186.999999999993</v>
      </c>
    </row>
    <row r="5" spans="1:8" x14ac:dyDescent="0.25">
      <c r="A5" s="6" t="s">
        <v>68</v>
      </c>
      <c r="B5" s="7">
        <v>1</v>
      </c>
      <c r="C5" s="7">
        <v>10</v>
      </c>
      <c r="D5" s="7">
        <v>1.5</v>
      </c>
      <c r="E5" s="7">
        <f t="shared" si="0"/>
        <v>15</v>
      </c>
      <c r="F5" t="s">
        <v>69</v>
      </c>
      <c r="G5" s="1">
        <f>1-G4-G3-G6-G7-G8-G9</f>
        <v>0.42999999999999994</v>
      </c>
      <c r="H5">
        <f>G5*C5*Статистика!$B$2*30</f>
        <v>676346.99999999977</v>
      </c>
    </row>
    <row r="6" spans="1:8" x14ac:dyDescent="0.25">
      <c r="A6" s="6" t="s">
        <v>70</v>
      </c>
      <c r="B6" s="7">
        <v>2</v>
      </c>
      <c r="C6" s="7">
        <v>20</v>
      </c>
      <c r="D6" s="7">
        <v>3</v>
      </c>
      <c r="E6" s="7">
        <f t="shared" si="0"/>
        <v>30</v>
      </c>
      <c r="F6" t="s">
        <v>71</v>
      </c>
      <c r="G6" s="1">
        <v>0.25</v>
      </c>
      <c r="H6">
        <f>G6*C6*Статистика!$B$2*30</f>
        <v>786450</v>
      </c>
    </row>
    <row r="7" spans="1:8" x14ac:dyDescent="0.25">
      <c r="A7" s="6" t="s">
        <v>72</v>
      </c>
      <c r="B7" s="7">
        <v>4</v>
      </c>
      <c r="C7" s="7">
        <v>40</v>
      </c>
      <c r="D7" s="7">
        <v>5</v>
      </c>
      <c r="E7" s="7">
        <f t="shared" si="0"/>
        <v>50</v>
      </c>
      <c r="F7" t="s">
        <v>73</v>
      </c>
      <c r="G7" s="1">
        <v>0.08</v>
      </c>
      <c r="H7">
        <f>G7*C7*Статистика!$B$2*30</f>
        <v>503328.00000000006</v>
      </c>
    </row>
    <row r="8" spans="1:8" x14ac:dyDescent="0.25">
      <c r="A8" s="6" t="s">
        <v>74</v>
      </c>
      <c r="B8" s="7">
        <v>10</v>
      </c>
      <c r="C8" s="7">
        <v>100</v>
      </c>
      <c r="D8" s="7">
        <v>15</v>
      </c>
      <c r="E8" s="7">
        <f t="shared" si="0"/>
        <v>150</v>
      </c>
      <c r="F8" t="s">
        <v>75</v>
      </c>
      <c r="G8" s="1">
        <v>0.03</v>
      </c>
      <c r="H8">
        <f>G8*C8*Статистика!$B$2*30</f>
        <v>471870</v>
      </c>
    </row>
    <row r="9" spans="1:8" x14ac:dyDescent="0.25">
      <c r="A9" s="6" t="s">
        <v>76</v>
      </c>
      <c r="B9" s="7">
        <v>50</v>
      </c>
      <c r="C9" s="7">
        <v>500</v>
      </c>
      <c r="D9" s="7">
        <v>16</v>
      </c>
      <c r="E9" s="7">
        <f t="shared" si="0"/>
        <v>160</v>
      </c>
      <c r="F9" t="s">
        <v>77</v>
      </c>
      <c r="G9" s="1">
        <v>0.01</v>
      </c>
      <c r="H9">
        <f>G9*C9*Статистика!$B$2*30*3</f>
        <v>2359350</v>
      </c>
    </row>
    <row r="10" spans="1:8" x14ac:dyDescent="0.25">
      <c r="H10">
        <f>SUM(H3:H9)</f>
        <v>4844532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"/>
  <sheetViews>
    <sheetView tabSelected="1" workbookViewId="0">
      <selection activeCell="A3" sqref="A3:E10"/>
    </sheetView>
  </sheetViews>
  <sheetFormatPr defaultRowHeight="15" x14ac:dyDescent="0.25"/>
  <cols>
    <col min="1" max="1" width="28.5703125" bestFit="1" customWidth="1"/>
  </cols>
  <sheetData>
    <row r="2" spans="1:5" x14ac:dyDescent="0.25">
      <c r="B2" t="s">
        <v>29</v>
      </c>
      <c r="C2" t="s">
        <v>31</v>
      </c>
      <c r="D2" t="s">
        <v>32</v>
      </c>
      <c r="E2" t="s">
        <v>34</v>
      </c>
    </row>
    <row r="3" spans="1:5" x14ac:dyDescent="0.25">
      <c r="A3" t="s">
        <v>28</v>
      </c>
      <c r="B3" t="s">
        <v>30</v>
      </c>
      <c r="C3">
        <v>500</v>
      </c>
      <c r="D3" t="s">
        <v>33</v>
      </c>
      <c r="E3" t="s">
        <v>35</v>
      </c>
    </row>
    <row r="4" spans="1:5" x14ac:dyDescent="0.25">
      <c r="A4" t="s">
        <v>79</v>
      </c>
      <c r="B4" t="s">
        <v>80</v>
      </c>
      <c r="D4" t="s">
        <v>81</v>
      </c>
      <c r="E4" t="s">
        <v>82</v>
      </c>
    </row>
    <row r="5" spans="1:5" x14ac:dyDescent="0.25">
      <c r="A5" t="s">
        <v>94</v>
      </c>
      <c r="B5" t="s">
        <v>95</v>
      </c>
      <c r="C5">
        <v>30</v>
      </c>
      <c r="D5" t="s">
        <v>81</v>
      </c>
      <c r="E5" t="s">
        <v>82</v>
      </c>
    </row>
    <row r="6" spans="1:5" x14ac:dyDescent="0.25">
      <c r="A6" t="s">
        <v>96</v>
      </c>
      <c r="B6" t="s">
        <v>97</v>
      </c>
      <c r="C6">
        <v>1000</v>
      </c>
      <c r="D6" t="s">
        <v>81</v>
      </c>
      <c r="E6" t="s">
        <v>82</v>
      </c>
    </row>
    <row r="7" spans="1:5" x14ac:dyDescent="0.25">
      <c r="A7" t="s">
        <v>98</v>
      </c>
      <c r="B7" t="s">
        <v>95</v>
      </c>
      <c r="C7">
        <v>30</v>
      </c>
      <c r="D7" t="s">
        <v>81</v>
      </c>
      <c r="E7" t="s">
        <v>82</v>
      </c>
    </row>
    <row r="8" spans="1:5" x14ac:dyDescent="0.25">
      <c r="A8" t="s">
        <v>99</v>
      </c>
      <c r="B8" t="s">
        <v>102</v>
      </c>
    </row>
    <row r="9" spans="1:5" x14ac:dyDescent="0.25">
      <c r="A9" t="s">
        <v>100</v>
      </c>
      <c r="B9" t="s">
        <v>101</v>
      </c>
    </row>
    <row r="10" spans="1:5" x14ac:dyDescent="0.25">
      <c r="A10" t="s">
        <v>103</v>
      </c>
      <c r="B10" t="s">
        <v>95</v>
      </c>
      <c r="C10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topLeftCell="A4" workbookViewId="0">
      <selection activeCell="F17" sqref="F17"/>
    </sheetView>
  </sheetViews>
  <sheetFormatPr defaultRowHeight="15" x14ac:dyDescent="0.25"/>
  <cols>
    <col min="2" max="2" width="17.28515625" customWidth="1"/>
    <col min="5" max="5" width="37.7109375" customWidth="1"/>
  </cols>
  <sheetData>
    <row r="1" spans="1:6" x14ac:dyDescent="0.25">
      <c r="A1" t="s">
        <v>36</v>
      </c>
    </row>
    <row r="3" spans="1:6" x14ac:dyDescent="0.25">
      <c r="A3" t="s">
        <v>56</v>
      </c>
      <c r="E3" t="s">
        <v>57</v>
      </c>
    </row>
    <row r="5" spans="1:6" x14ac:dyDescent="0.25">
      <c r="A5" t="s">
        <v>37</v>
      </c>
      <c r="B5">
        <f>Налоги!C3*Экономика!F10/5</f>
        <v>200000</v>
      </c>
      <c r="E5" t="s">
        <v>58</v>
      </c>
      <c r="F5">
        <v>500</v>
      </c>
    </row>
    <row r="6" spans="1:6" x14ac:dyDescent="0.25">
      <c r="A6" t="s">
        <v>84</v>
      </c>
      <c r="B6">
        <f>Налоги!C4*Экономика!I6*0.5+Экономика!I8*Налоги!C4+Экономика!I11*Налоги!C4+Экономика!I12*Налоги!C4+SUM(Экономика!J5:J13)*Налоги!C4</f>
        <v>0</v>
      </c>
      <c r="E6" t="s">
        <v>83</v>
      </c>
      <c r="F6">
        <v>3000</v>
      </c>
    </row>
    <row r="7" spans="1:6" x14ac:dyDescent="0.25">
      <c r="A7" t="s">
        <v>25</v>
      </c>
      <c r="B7">
        <f>Налоги!C5*Статистика!B2</f>
        <v>157290</v>
      </c>
      <c r="E7" t="s">
        <v>85</v>
      </c>
      <c r="F7">
        <f>13*3000</f>
        <v>39000</v>
      </c>
    </row>
    <row r="8" spans="1:6" x14ac:dyDescent="0.25">
      <c r="A8" t="s">
        <v>96</v>
      </c>
      <c r="E8" t="s">
        <v>86</v>
      </c>
      <c r="F8">
        <f>50000</f>
        <v>50000</v>
      </c>
    </row>
    <row r="9" spans="1:6" x14ac:dyDescent="0.25">
      <c r="A9" t="s">
        <v>98</v>
      </c>
      <c r="E9" t="s">
        <v>87</v>
      </c>
      <c r="F9">
        <f>45*1000</f>
        <v>45000</v>
      </c>
    </row>
    <row r="10" spans="1:6" x14ac:dyDescent="0.25">
      <c r="A10" t="s">
        <v>99</v>
      </c>
      <c r="E10" t="s">
        <v>88</v>
      </c>
      <c r="F10">
        <v>20000</v>
      </c>
    </row>
    <row r="11" spans="1:6" x14ac:dyDescent="0.25">
      <c r="A11" t="s">
        <v>100</v>
      </c>
      <c r="E11" t="s">
        <v>89</v>
      </c>
      <c r="F11">
        <v>20000</v>
      </c>
    </row>
    <row r="12" spans="1:6" x14ac:dyDescent="0.25">
      <c r="E12" t="s">
        <v>90</v>
      </c>
      <c r="F12">
        <v>10000</v>
      </c>
    </row>
    <row r="13" spans="1:6" x14ac:dyDescent="0.25">
      <c r="E13" t="s">
        <v>91</v>
      </c>
      <c r="F13">
        <v>10000</v>
      </c>
    </row>
    <row r="14" spans="1:6" x14ac:dyDescent="0.25">
      <c r="E14" t="s">
        <v>104</v>
      </c>
      <c r="F14">
        <f>Налоги!C10*(Статистика!B2+854+621)</f>
        <v>134360</v>
      </c>
    </row>
    <row r="15" spans="1:6" x14ac:dyDescent="0.25">
      <c r="E15" t="s">
        <v>111</v>
      </c>
      <c r="F15">
        <v>50000</v>
      </c>
    </row>
    <row r="17" spans="2:8" x14ac:dyDescent="0.25">
      <c r="B17">
        <f>SUM(B5:B11)</f>
        <v>357290</v>
      </c>
      <c r="F17">
        <f>SUM(F5:F16)</f>
        <v>381860</v>
      </c>
      <c r="H17">
        <f>B17-F17</f>
        <v>-24570</v>
      </c>
    </row>
    <row r="21" spans="2:8" x14ac:dyDescent="0.25">
      <c r="D21">
        <f>(0.95)^16</f>
        <v>0.44012666865176564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8"/>
  <sheetViews>
    <sheetView workbookViewId="0">
      <selection activeCell="C9" sqref="C9"/>
    </sheetView>
  </sheetViews>
  <sheetFormatPr defaultRowHeight="15" x14ac:dyDescent="0.25"/>
  <sheetData>
    <row r="3" spans="2:9" x14ac:dyDescent="0.25">
      <c r="B3" t="s">
        <v>105</v>
      </c>
      <c r="C3">
        <v>866</v>
      </c>
    </row>
    <row r="4" spans="2:9" x14ac:dyDescent="0.25">
      <c r="B4" t="s">
        <v>106</v>
      </c>
      <c r="C4">
        <v>786</v>
      </c>
    </row>
    <row r="5" spans="2:9" x14ac:dyDescent="0.25">
      <c r="B5" t="s">
        <v>107</v>
      </c>
      <c r="C5">
        <v>3</v>
      </c>
    </row>
    <row r="6" spans="2:9" x14ac:dyDescent="0.25">
      <c r="B6" t="s">
        <v>109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2:9" x14ac:dyDescent="0.25">
      <c r="B7" t="s">
        <v>110</v>
      </c>
      <c r="C7">
        <v>18</v>
      </c>
    </row>
    <row r="8" spans="2:9" x14ac:dyDescent="0.25">
      <c r="B8" t="s">
        <v>108</v>
      </c>
      <c r="C8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"/>
  <sheetViews>
    <sheetView workbookViewId="0">
      <selection activeCell="A7" sqref="A7"/>
    </sheetView>
  </sheetViews>
  <sheetFormatPr defaultRowHeight="15" x14ac:dyDescent="0.25"/>
  <sheetData>
    <row r="1" spans="1:12" x14ac:dyDescent="0.25">
      <c r="A1" t="s">
        <v>112</v>
      </c>
    </row>
    <row r="3" spans="1:12" x14ac:dyDescent="0.25">
      <c r="A3" t="s">
        <v>113</v>
      </c>
      <c r="E3" t="s">
        <v>121</v>
      </c>
      <c r="G3">
        <v>2</v>
      </c>
      <c r="H3">
        <v>8</v>
      </c>
      <c r="I3">
        <v>5</v>
      </c>
      <c r="J3">
        <f>G3*I3*H3</f>
        <v>80</v>
      </c>
    </row>
    <row r="4" spans="1:12" x14ac:dyDescent="0.25">
      <c r="A4" t="s">
        <v>114</v>
      </c>
      <c r="E4" t="s">
        <v>122</v>
      </c>
      <c r="G4">
        <v>2</v>
      </c>
      <c r="H4">
        <v>8</v>
      </c>
      <c r="I4">
        <v>50</v>
      </c>
      <c r="J4">
        <f t="shared" ref="J4:J9" si="0">G4*I4*H4</f>
        <v>800</v>
      </c>
    </row>
    <row r="5" spans="1:12" x14ac:dyDescent="0.25">
      <c r="A5" t="s">
        <v>115</v>
      </c>
      <c r="E5" t="s">
        <v>123</v>
      </c>
      <c r="F5" t="s">
        <v>124</v>
      </c>
      <c r="G5">
        <v>1</v>
      </c>
      <c r="H5">
        <v>8</v>
      </c>
      <c r="I5">
        <v>500</v>
      </c>
      <c r="J5">
        <f t="shared" si="0"/>
        <v>4000</v>
      </c>
      <c r="L5">
        <f>SUM(J3:J6)</f>
        <v>5280</v>
      </c>
    </row>
    <row r="6" spans="1:12" x14ac:dyDescent="0.25">
      <c r="A6" t="s">
        <v>116</v>
      </c>
      <c r="E6" t="s">
        <v>125</v>
      </c>
      <c r="G6">
        <v>1</v>
      </c>
      <c r="H6">
        <v>8</v>
      </c>
      <c r="I6">
        <v>50</v>
      </c>
      <c r="J6">
        <f t="shared" si="0"/>
        <v>400</v>
      </c>
    </row>
    <row r="7" spans="1:12" x14ac:dyDescent="0.25">
      <c r="A7" t="s">
        <v>117</v>
      </c>
      <c r="E7" t="s">
        <v>126</v>
      </c>
      <c r="G7">
        <v>1</v>
      </c>
      <c r="H7">
        <v>8</v>
      </c>
      <c r="I7">
        <v>2500</v>
      </c>
      <c r="J7">
        <f t="shared" si="0"/>
        <v>20000</v>
      </c>
    </row>
    <row r="8" spans="1:12" x14ac:dyDescent="0.25">
      <c r="A8" t="s">
        <v>118</v>
      </c>
      <c r="E8" t="s">
        <v>128</v>
      </c>
      <c r="G8">
        <v>20</v>
      </c>
      <c r="H8">
        <v>8</v>
      </c>
      <c r="I8">
        <f>30/10</f>
        <v>3</v>
      </c>
      <c r="J8">
        <f t="shared" si="0"/>
        <v>480</v>
      </c>
    </row>
    <row r="9" spans="1:12" x14ac:dyDescent="0.25">
      <c r="A9" t="s">
        <v>119</v>
      </c>
      <c r="E9" t="s">
        <v>127</v>
      </c>
      <c r="G9">
        <v>1</v>
      </c>
      <c r="H9">
        <v>8</v>
      </c>
      <c r="I9">
        <v>50</v>
      </c>
      <c r="J9">
        <f t="shared" si="0"/>
        <v>400</v>
      </c>
    </row>
    <row r="10" spans="1:12" x14ac:dyDescent="0.25">
      <c r="A10" t="s">
        <v>120</v>
      </c>
      <c r="J10">
        <f>SUM(J3:J9)</f>
        <v>26160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Статистика</vt:lpstr>
      <vt:lpstr>Экономика</vt:lpstr>
      <vt:lpstr>Аркуш1</vt:lpstr>
      <vt:lpstr>Налоги</vt:lpstr>
      <vt:lpstr>Бюджет</vt:lpstr>
      <vt:lpstr>Аркуш2</vt:lpstr>
      <vt:lpstr>Аркуш3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Палихов Антон</dc:creator>
  <cp:lastModifiedBy>Палихов Антон</cp:lastModifiedBy>
  <dcterms:created xsi:type="dcterms:W3CDTF">2016-08-07T02:11:39Z</dcterms:created>
  <dcterms:modified xsi:type="dcterms:W3CDTF">2018-05-09T14:58:33Z</dcterms:modified>
</cp:coreProperties>
</file>