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defaultThemeVersion="124226"/>
  <mc:AlternateContent xmlns:mc="http://schemas.openxmlformats.org/markup-compatibility/2006">
    <mc:Choice Requires="x15">
      <x15ac:absPath xmlns:x15ac="http://schemas.microsoft.com/office/spreadsheetml/2010/11/ac" url="/Users/philippe/Dropbox/DnD/War Machine/"/>
    </mc:Choice>
  </mc:AlternateContent>
  <xr:revisionPtr revIDLastSave="0" documentId="13_ncr:1_{E0C87799-3CDC-BA43-9BC4-CE051F73C8D4}" xr6:coauthVersionLast="47" xr6:coauthVersionMax="47" xr10:uidLastSave="{00000000-0000-0000-0000-000000000000}"/>
  <bookViews>
    <workbookView xWindow="0" yWindow="0" windowWidth="33600" windowHeight="21000" tabRatio="597" firstSheet="3" activeTab="8" xr2:uid="{00000000-000D-0000-FFFF-FFFF00000000}"/>
  </bookViews>
  <sheets>
    <sheet name="Homebrew" sheetId="8" state="hidden" r:id="rId1"/>
    <sheet name="Units" sheetId="9" r:id="rId2"/>
    <sheet name="Forces" sheetId="3" state="hidden" r:id="rId3"/>
    <sheet name="Computations" sheetId="6" state="hidden" r:id="rId4"/>
    <sheet name="MadCaps-Wererats" sheetId="10" r:id="rId5"/>
    <sheet name="Machines-Wererats" sheetId="11" r:id="rId6"/>
    <sheet name="77th Cavalry" sheetId="12" r:id="rId7"/>
    <sheet name="Main" sheetId="5" r:id="rId8"/>
    <sheet name="Avernus" sheetId="14" r:id="rId9"/>
    <sheet name="Test" sheetId="13" r:id="rId10"/>
    <sheet name="Tables" sheetId="7" r:id="rId11"/>
    <sheet name="Old" sheetId="1" state="hidden" r:id="rId12"/>
    <sheet name="Units (Old)" sheetId="2" state="hidden" r:id="rId13"/>
  </sheets>
  <definedNames>
    <definedName name="cForce1" localSheetId="6">'77th Cavalry'!$C$2</definedName>
    <definedName name="cForce1" localSheetId="5">'Machines-Wererats'!$C$2</definedName>
    <definedName name="cForce1" localSheetId="4">'MadCaps-Wererats'!$C$2</definedName>
    <definedName name="cForce1" localSheetId="9">Test!$C$2</definedName>
    <definedName name="cForce1">Main!$C$2</definedName>
    <definedName name="cForce2" localSheetId="6">'77th Cavalry'!$D$2</definedName>
    <definedName name="cForce2" localSheetId="5">'Machines-Wererats'!$D$2</definedName>
    <definedName name="cForce2" localSheetId="4">'MadCaps-Wererats'!$D$2</definedName>
    <definedName name="cForce2" localSheetId="9">Test!$D$2</definedName>
    <definedName name="cForce2">Main!$D$2</definedName>
    <definedName name="cNumTroops1" localSheetId="6">'77th Cavalry'!$C$3</definedName>
    <definedName name="cNumTroops1" localSheetId="5">'Machines-Wererats'!$C$3</definedName>
    <definedName name="cNumTroops1" localSheetId="4">'MadCaps-Wererats'!$C$3</definedName>
    <definedName name="cNumTroops1" localSheetId="9">Test!$C$3</definedName>
    <definedName name="cNumTroops1">Main!$C$3</definedName>
    <definedName name="cNumTroops2" localSheetId="6">'77th Cavalry'!$D$3</definedName>
    <definedName name="cNumTroops2" localSheetId="5">'Machines-Wererats'!$D$3</definedName>
    <definedName name="cNumTroops2" localSheetId="4">'MadCaps-Wererats'!$D$3</definedName>
    <definedName name="cNumTroops2" localSheetId="9">Test!$D$3</definedName>
    <definedName name="cNumTroops2">Main!$D$3</definedName>
    <definedName name="rUnitsNames">Units!$E$2:$AT$2</definedName>
    <definedName name="tCombatResults">Tables!$T$2:$Z$14</definedName>
    <definedName name="tLocationResults">Tables!$AB$2:$AC$12</definedName>
    <definedName name="tPercentBattleRating">Tables!$J$2:$J$14</definedName>
    <definedName name="tPercentOfficers">Tables!$H$2:$H$22</definedName>
    <definedName name="tRatio">Tables!$E$2:$F$20</definedName>
    <definedName name="tTacticsBonus">Tables!$L$11</definedName>
    <definedName name="tTacticsCasualties">Tables!$L$2</definedName>
    <definedName name="tTacticsEffects">Tables!$L$20</definedName>
    <definedName name="tTacticsList">Tables!$L$3:$L$8</definedName>
    <definedName name="tTroopClass">Tables!$A$2:$C$9</definedName>
    <definedName name="tUnitsStats">Units!$E$2:$AT$44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4" l="1"/>
  <c r="I15" i="14"/>
  <c r="E15" i="14"/>
  <c r="X28" i="9"/>
  <c r="X29" i="9" s="1"/>
  <c r="I13" i="14"/>
  <c r="I12" i="14"/>
  <c r="I11" i="14"/>
  <c r="I10" i="14"/>
  <c r="I9" i="14"/>
  <c r="I8" i="14"/>
  <c r="I7" i="14"/>
  <c r="I5" i="14"/>
  <c r="I4" i="14"/>
  <c r="I3" i="14"/>
  <c r="I2" i="14"/>
  <c r="K28" i="9"/>
  <c r="K40" i="9" s="1"/>
  <c r="J28" i="9"/>
  <c r="J29" i="9" s="1"/>
  <c r="X40" i="9" l="1"/>
  <c r="E45" i="14" s="1"/>
  <c r="K29" i="9"/>
  <c r="K44" i="9" s="1"/>
  <c r="J40" i="9"/>
  <c r="E16" i="14" s="1"/>
  <c r="V28" i="9"/>
  <c r="V40" i="9" s="1"/>
  <c r="E10" i="14" s="1"/>
  <c r="X44" i="9" l="1"/>
  <c r="J44" i="9"/>
  <c r="V29" i="9"/>
  <c r="V44" i="9" s="1"/>
  <c r="AA28" i="9"/>
  <c r="AA40" i="9" s="1"/>
  <c r="E41" i="14" s="1"/>
  <c r="Z28" i="9"/>
  <c r="Z40" i="9" s="1"/>
  <c r="E43" i="14" s="1"/>
  <c r="Y28" i="9"/>
  <c r="Y40" i="9" s="1"/>
  <c r="E11" i="14" s="1"/>
  <c r="T28" i="9"/>
  <c r="T40" i="9" s="1"/>
  <c r="E5" i="14" s="1"/>
  <c r="AJ44" i="9"/>
  <c r="W28" i="9"/>
  <c r="W40" i="9" s="1"/>
  <c r="E44" i="14" s="1"/>
  <c r="U28" i="9"/>
  <c r="U29" i="9" s="1"/>
  <c r="S28" i="9"/>
  <c r="S29" i="9" s="1"/>
  <c r="R28" i="9"/>
  <c r="R29" i="9" s="1"/>
  <c r="D117" i="13"/>
  <c r="C117" i="13"/>
  <c r="D112" i="13"/>
  <c r="C112" i="13"/>
  <c r="D110" i="13"/>
  <c r="C110" i="13"/>
  <c r="D108" i="13"/>
  <c r="C108" i="13"/>
  <c r="D106" i="13"/>
  <c r="C106" i="13"/>
  <c r="D101" i="13"/>
  <c r="C101" i="13"/>
  <c r="D100" i="13"/>
  <c r="C100" i="13"/>
  <c r="D98" i="13"/>
  <c r="C98" i="13"/>
  <c r="D96" i="13"/>
  <c r="C96" i="13"/>
  <c r="D94" i="13"/>
  <c r="C94" i="13"/>
  <c r="D92" i="13"/>
  <c r="C92" i="13"/>
  <c r="D87" i="13"/>
  <c r="C87" i="13"/>
  <c r="D85" i="13"/>
  <c r="C85" i="13"/>
  <c r="D83" i="13"/>
  <c r="C83" i="13"/>
  <c r="D81" i="13"/>
  <c r="C81" i="13"/>
  <c r="D79" i="13"/>
  <c r="C79" i="13"/>
  <c r="D77" i="13"/>
  <c r="C77" i="13"/>
  <c r="D75" i="13"/>
  <c r="C75" i="13"/>
  <c r="D70" i="13"/>
  <c r="C70" i="13"/>
  <c r="D68" i="13"/>
  <c r="D71" i="13" s="1"/>
  <c r="C68" i="13"/>
  <c r="D66" i="13"/>
  <c r="C66" i="13"/>
  <c r="D61" i="13"/>
  <c r="C61" i="13"/>
  <c r="D59" i="13"/>
  <c r="C59" i="13"/>
  <c r="D57" i="13"/>
  <c r="C57" i="13"/>
  <c r="D55" i="13"/>
  <c r="C55" i="13"/>
  <c r="D53" i="13"/>
  <c r="C53" i="13"/>
  <c r="D47" i="13"/>
  <c r="C47" i="13"/>
  <c r="D45" i="13"/>
  <c r="D48" i="13" s="1"/>
  <c r="C45" i="13"/>
  <c r="D40" i="13"/>
  <c r="C40" i="13"/>
  <c r="D38" i="13"/>
  <c r="C38" i="13"/>
  <c r="D36" i="13"/>
  <c r="C36" i="13"/>
  <c r="D34" i="13"/>
  <c r="C34" i="13"/>
  <c r="D26" i="13"/>
  <c r="C26" i="13"/>
  <c r="D4" i="13"/>
  <c r="C4" i="13"/>
  <c r="D117" i="12"/>
  <c r="C117" i="12"/>
  <c r="D112" i="12"/>
  <c r="C112" i="12"/>
  <c r="D110" i="12"/>
  <c r="C110" i="12"/>
  <c r="D108" i="12"/>
  <c r="C108" i="12"/>
  <c r="D106" i="12"/>
  <c r="C106" i="12"/>
  <c r="D101" i="12"/>
  <c r="C101" i="12"/>
  <c r="D100" i="12"/>
  <c r="C100" i="12"/>
  <c r="D98" i="12"/>
  <c r="C98" i="12"/>
  <c r="D96" i="12"/>
  <c r="C96" i="12"/>
  <c r="D94" i="12"/>
  <c r="C94" i="12"/>
  <c r="D92" i="12"/>
  <c r="C92" i="12"/>
  <c r="D87" i="12"/>
  <c r="C87" i="12"/>
  <c r="D85" i="12"/>
  <c r="C85" i="12"/>
  <c r="D83" i="12"/>
  <c r="C83" i="12"/>
  <c r="D81" i="12"/>
  <c r="C81" i="12"/>
  <c r="D79" i="12"/>
  <c r="C79" i="12"/>
  <c r="D77" i="12"/>
  <c r="C77" i="12"/>
  <c r="D75" i="12"/>
  <c r="C75" i="12"/>
  <c r="D70" i="12"/>
  <c r="C70" i="12"/>
  <c r="D68" i="12"/>
  <c r="C68" i="12"/>
  <c r="D66" i="12"/>
  <c r="C66" i="12"/>
  <c r="D61" i="12"/>
  <c r="C61" i="12"/>
  <c r="D59" i="12"/>
  <c r="C59" i="12"/>
  <c r="D57" i="12"/>
  <c r="C57" i="12"/>
  <c r="D55" i="12"/>
  <c r="C55" i="12"/>
  <c r="D53" i="12"/>
  <c r="C53" i="12"/>
  <c r="D47" i="12"/>
  <c r="C47" i="12"/>
  <c r="D45" i="12"/>
  <c r="C45" i="12"/>
  <c r="D40" i="12"/>
  <c r="C40" i="12"/>
  <c r="D38" i="12"/>
  <c r="C38" i="12"/>
  <c r="D36" i="12"/>
  <c r="C36" i="12"/>
  <c r="D34" i="12"/>
  <c r="C34" i="12"/>
  <c r="D26" i="12"/>
  <c r="C26" i="12"/>
  <c r="D4" i="12"/>
  <c r="C4" i="12"/>
  <c r="D117" i="11"/>
  <c r="C117" i="11"/>
  <c r="D112" i="11"/>
  <c r="C112" i="11"/>
  <c r="D110" i="11"/>
  <c r="C110" i="11"/>
  <c r="D108" i="11"/>
  <c r="C108" i="11"/>
  <c r="D106" i="11"/>
  <c r="C106" i="11"/>
  <c r="D101" i="11"/>
  <c r="C101" i="11"/>
  <c r="D100" i="11"/>
  <c r="C100" i="11"/>
  <c r="D98" i="11"/>
  <c r="C98" i="11"/>
  <c r="D96" i="11"/>
  <c r="C96" i="11"/>
  <c r="D94" i="11"/>
  <c r="C94" i="11"/>
  <c r="D92" i="11"/>
  <c r="C92" i="11"/>
  <c r="D87" i="11"/>
  <c r="C87" i="11"/>
  <c r="D85" i="11"/>
  <c r="C85" i="11"/>
  <c r="D83" i="11"/>
  <c r="C83" i="11"/>
  <c r="D81" i="11"/>
  <c r="C81" i="11"/>
  <c r="D79" i="11"/>
  <c r="C79" i="11"/>
  <c r="D77" i="11"/>
  <c r="C77" i="11"/>
  <c r="D75" i="11"/>
  <c r="C75" i="11"/>
  <c r="D70" i="11"/>
  <c r="C70" i="11"/>
  <c r="D68" i="11"/>
  <c r="C68" i="11"/>
  <c r="D66" i="11"/>
  <c r="C66" i="11"/>
  <c r="D61" i="11"/>
  <c r="C61" i="11"/>
  <c r="D59" i="11"/>
  <c r="C59" i="11"/>
  <c r="D57" i="11"/>
  <c r="C57" i="11"/>
  <c r="D55" i="11"/>
  <c r="C55" i="11"/>
  <c r="D53" i="11"/>
  <c r="C53" i="11"/>
  <c r="D47" i="11"/>
  <c r="C47" i="11"/>
  <c r="D45" i="11"/>
  <c r="C45" i="11"/>
  <c r="D40" i="11"/>
  <c r="C40" i="11"/>
  <c r="D38" i="11"/>
  <c r="C38" i="11"/>
  <c r="D36" i="11"/>
  <c r="C36" i="11"/>
  <c r="D34" i="11"/>
  <c r="C34" i="11"/>
  <c r="D26" i="11"/>
  <c r="C26" i="11"/>
  <c r="D4" i="11"/>
  <c r="C4" i="11"/>
  <c r="D117" i="10"/>
  <c r="C117" i="10"/>
  <c r="D112" i="10"/>
  <c r="C112" i="10"/>
  <c r="D110" i="10"/>
  <c r="C110" i="10"/>
  <c r="D108" i="10"/>
  <c r="C108" i="10"/>
  <c r="D106" i="10"/>
  <c r="C106" i="10"/>
  <c r="D101" i="10"/>
  <c r="C101" i="10"/>
  <c r="D100" i="10"/>
  <c r="C100" i="10"/>
  <c r="D98" i="10"/>
  <c r="C98" i="10"/>
  <c r="D96" i="10"/>
  <c r="C96" i="10"/>
  <c r="D94" i="10"/>
  <c r="C94" i="10"/>
  <c r="D92" i="10"/>
  <c r="C92" i="10"/>
  <c r="D87" i="10"/>
  <c r="C87" i="10"/>
  <c r="D85" i="10"/>
  <c r="C85" i="10"/>
  <c r="D83" i="10"/>
  <c r="C83" i="10"/>
  <c r="D81" i="10"/>
  <c r="C81" i="10"/>
  <c r="D79" i="10"/>
  <c r="C79" i="10"/>
  <c r="D77" i="10"/>
  <c r="C77" i="10"/>
  <c r="D75" i="10"/>
  <c r="C75" i="10"/>
  <c r="D70" i="10"/>
  <c r="C70" i="10"/>
  <c r="D68" i="10"/>
  <c r="C68" i="10"/>
  <c r="D66" i="10"/>
  <c r="C66" i="10"/>
  <c r="D61" i="10"/>
  <c r="C61" i="10"/>
  <c r="D59" i="10"/>
  <c r="C59" i="10"/>
  <c r="D57" i="10"/>
  <c r="C57" i="10"/>
  <c r="D55" i="10"/>
  <c r="C55" i="10"/>
  <c r="D53" i="10"/>
  <c r="C53" i="10"/>
  <c r="D47" i="10"/>
  <c r="C47" i="10"/>
  <c r="D45" i="10"/>
  <c r="C45" i="10"/>
  <c r="D40" i="10"/>
  <c r="C40" i="10"/>
  <c r="D38" i="10"/>
  <c r="C38" i="10"/>
  <c r="D36" i="10"/>
  <c r="C36" i="10"/>
  <c r="D34" i="10"/>
  <c r="C34" i="10"/>
  <c r="D26" i="10"/>
  <c r="C26" i="10"/>
  <c r="D5" i="10"/>
  <c r="D7" i="10" s="1"/>
  <c r="C5" i="10"/>
  <c r="C7" i="10" s="1"/>
  <c r="D4" i="10"/>
  <c r="C4" i="10"/>
  <c r="P28" i="9"/>
  <c r="P40" i="9" s="1"/>
  <c r="E3" i="14" s="1"/>
  <c r="O28" i="9"/>
  <c r="O40" i="9" s="1"/>
  <c r="E2" i="14" s="1"/>
  <c r="Q28" i="9"/>
  <c r="Q40" i="9" s="1"/>
  <c r="D47" i="5"/>
  <c r="D45" i="5"/>
  <c r="D48" i="5" s="1"/>
  <c r="C47" i="5"/>
  <c r="C45" i="5"/>
  <c r="D40" i="5"/>
  <c r="D38" i="5"/>
  <c r="D36" i="5"/>
  <c r="D34" i="5"/>
  <c r="C40" i="5"/>
  <c r="C38" i="5"/>
  <c r="C36" i="5"/>
  <c r="C34" i="5"/>
  <c r="D57" i="5"/>
  <c r="C57" i="5"/>
  <c r="C26" i="5"/>
  <c r="D26" i="5"/>
  <c r="D117" i="5"/>
  <c r="C117" i="5"/>
  <c r="D112" i="5"/>
  <c r="D110" i="5"/>
  <c r="D108" i="5"/>
  <c r="D106" i="5"/>
  <c r="C112" i="5"/>
  <c r="C110" i="5"/>
  <c r="C108" i="5"/>
  <c r="C106" i="5"/>
  <c r="D101" i="5"/>
  <c r="C101" i="5"/>
  <c r="D100" i="5"/>
  <c r="D98" i="5"/>
  <c r="D96" i="5"/>
  <c r="D94" i="5"/>
  <c r="D92" i="5"/>
  <c r="C100" i="5"/>
  <c r="C98" i="5"/>
  <c r="C96" i="5"/>
  <c r="C94" i="5"/>
  <c r="D87" i="5"/>
  <c r="D85" i="5"/>
  <c r="D83" i="5"/>
  <c r="D81" i="5"/>
  <c r="D79" i="5"/>
  <c r="D77" i="5"/>
  <c r="D75" i="5"/>
  <c r="C92" i="5"/>
  <c r="C87" i="5"/>
  <c r="C85" i="5"/>
  <c r="C83" i="5"/>
  <c r="C81" i="5"/>
  <c r="C79" i="5"/>
  <c r="C77" i="5"/>
  <c r="C75" i="5"/>
  <c r="D70" i="5"/>
  <c r="C70" i="5"/>
  <c r="D68" i="5"/>
  <c r="C68" i="5"/>
  <c r="D66" i="5"/>
  <c r="C66" i="5"/>
  <c r="D61" i="5"/>
  <c r="C61" i="5"/>
  <c r="D59" i="5"/>
  <c r="C59" i="5"/>
  <c r="D55" i="5"/>
  <c r="C55" i="5"/>
  <c r="D53" i="5"/>
  <c r="C53" i="5"/>
  <c r="D4" i="5"/>
  <c r="C4" i="5"/>
  <c r="D29" i="13" l="1"/>
  <c r="C8" i="12"/>
  <c r="E4" i="14"/>
  <c r="D48" i="12"/>
  <c r="C8" i="11"/>
  <c r="D48" i="11"/>
  <c r="C29" i="10"/>
  <c r="C41" i="12"/>
  <c r="C48" i="12"/>
  <c r="C71" i="12"/>
  <c r="D41" i="12"/>
  <c r="D71" i="11"/>
  <c r="D113" i="11"/>
  <c r="C48" i="11"/>
  <c r="C71" i="11"/>
  <c r="C41" i="13"/>
  <c r="C48" i="13"/>
  <c r="C71" i="13"/>
  <c r="C88" i="10"/>
  <c r="C113" i="10"/>
  <c r="C41" i="11"/>
  <c r="D88" i="10"/>
  <c r="D113" i="10"/>
  <c r="D41" i="11"/>
  <c r="C41" i="10"/>
  <c r="C48" i="10"/>
  <c r="C71" i="10"/>
  <c r="D41" i="10"/>
  <c r="D48" i="10"/>
  <c r="D71" i="10"/>
  <c r="D88" i="12"/>
  <c r="D88" i="11"/>
  <c r="C88" i="12"/>
  <c r="C113" i="12"/>
  <c r="D29" i="11"/>
  <c r="C88" i="11"/>
  <c r="C113" i="11"/>
  <c r="D71" i="12"/>
  <c r="D113" i="12"/>
  <c r="Z29" i="9"/>
  <c r="Z44" i="9" s="1"/>
  <c r="AA29" i="9"/>
  <c r="AA44" i="9" s="1"/>
  <c r="C5" i="12"/>
  <c r="C7" i="12" s="1"/>
  <c r="Y29" i="9"/>
  <c r="Y44" i="9" s="1"/>
  <c r="T29" i="9"/>
  <c r="T44" i="9" s="1"/>
  <c r="W29" i="9"/>
  <c r="W44" i="9" s="1"/>
  <c r="R40" i="9"/>
  <c r="S40" i="9"/>
  <c r="U40" i="9"/>
  <c r="C29" i="13"/>
  <c r="D41" i="13"/>
  <c r="C51" i="13"/>
  <c r="C62" i="13" s="1"/>
  <c r="C102" i="13"/>
  <c r="C88" i="13"/>
  <c r="C113" i="13"/>
  <c r="D102" i="13"/>
  <c r="D88" i="13"/>
  <c r="D113" i="13"/>
  <c r="D51" i="13"/>
  <c r="D62" i="13" s="1"/>
  <c r="C27" i="13"/>
  <c r="D27" i="13"/>
  <c r="C28" i="13"/>
  <c r="D28" i="13"/>
  <c r="C29" i="11"/>
  <c r="D29" i="10"/>
  <c r="C5" i="11"/>
  <c r="C7" i="11" s="1"/>
  <c r="C102" i="11"/>
  <c r="C102" i="12"/>
  <c r="D29" i="12"/>
  <c r="C29" i="12"/>
  <c r="D102" i="12"/>
  <c r="D102" i="11"/>
  <c r="C27" i="12"/>
  <c r="D27" i="12"/>
  <c r="C28" i="12"/>
  <c r="D28" i="12"/>
  <c r="C27" i="11"/>
  <c r="D27" i="11"/>
  <c r="C28" i="11"/>
  <c r="D28" i="11"/>
  <c r="C102" i="10"/>
  <c r="C51" i="10"/>
  <c r="C62" i="10" s="1"/>
  <c r="D102" i="10"/>
  <c r="D51" i="10"/>
  <c r="D62" i="10" s="1"/>
  <c r="C27" i="10"/>
  <c r="D27" i="10"/>
  <c r="C28" i="10"/>
  <c r="D28" i="10"/>
  <c r="P29" i="9"/>
  <c r="P44" i="9" s="1"/>
  <c r="O29" i="9"/>
  <c r="O44" i="9" s="1"/>
  <c r="Q29" i="9"/>
  <c r="Q44" i="9" s="1"/>
  <c r="D88" i="5"/>
  <c r="D41" i="5"/>
  <c r="C48" i="5"/>
  <c r="D71" i="5"/>
  <c r="C41" i="5"/>
  <c r="D29" i="5"/>
  <c r="C27" i="5"/>
  <c r="C28" i="5"/>
  <c r="C29" i="5"/>
  <c r="D27" i="5"/>
  <c r="D28" i="5"/>
  <c r="D113" i="5"/>
  <c r="C113" i="5"/>
  <c r="C102" i="5"/>
  <c r="D102" i="5"/>
  <c r="C88" i="5"/>
  <c r="C71" i="5"/>
  <c r="N28" i="9"/>
  <c r="N29" i="9" s="1"/>
  <c r="M28" i="9"/>
  <c r="M29" i="9" s="1"/>
  <c r="L28" i="9"/>
  <c r="L29" i="9" s="1"/>
  <c r="U44" i="9" l="1"/>
  <c r="E9" i="14"/>
  <c r="S44" i="9"/>
  <c r="E8" i="14"/>
  <c r="C8" i="10"/>
  <c r="C11" i="10" s="1"/>
  <c r="C13" i="10" s="1"/>
  <c r="E7" i="14"/>
  <c r="R44" i="9"/>
  <c r="D8" i="10"/>
  <c r="D11" i="10" s="1"/>
  <c r="D13" i="10" s="1"/>
  <c r="C6" i="12"/>
  <c r="C6" i="11"/>
  <c r="N40" i="9"/>
  <c r="M40" i="9"/>
  <c r="L40" i="9"/>
  <c r="AI28" i="9"/>
  <c r="AI40" i="9" s="1"/>
  <c r="E39" i="14" s="1"/>
  <c r="AH28" i="9"/>
  <c r="AH40" i="9" s="1"/>
  <c r="E38" i="14" s="1"/>
  <c r="AG28" i="9"/>
  <c r="AG40" i="9" s="1"/>
  <c r="E37" i="14" s="1"/>
  <c r="AF28" i="9"/>
  <c r="AF40" i="9" s="1"/>
  <c r="E36" i="14" s="1"/>
  <c r="AE28" i="9"/>
  <c r="AE40" i="9" s="1"/>
  <c r="E35" i="14" s="1"/>
  <c r="AD28" i="9"/>
  <c r="AD40" i="9" s="1"/>
  <c r="E34" i="14" s="1"/>
  <c r="AC28" i="9"/>
  <c r="AC40" i="9" s="1"/>
  <c r="E13" i="14" s="1"/>
  <c r="AB28" i="9"/>
  <c r="AB40" i="9" s="1"/>
  <c r="E12" i="14" s="1"/>
  <c r="I28" i="9"/>
  <c r="I40" i="9" s="1"/>
  <c r="H28" i="9"/>
  <c r="H40" i="9" s="1"/>
  <c r="G28" i="9"/>
  <c r="G40" i="9" s="1"/>
  <c r="F28" i="9"/>
  <c r="E28" i="9"/>
  <c r="AT28" i="9"/>
  <c r="AT40" i="9" s="1"/>
  <c r="AS28" i="9"/>
  <c r="AS40" i="9" s="1"/>
  <c r="AR28" i="9"/>
  <c r="AR40" i="9" s="1"/>
  <c r="AQ28" i="9"/>
  <c r="AQ40" i="9" s="1"/>
  <c r="AP28" i="9"/>
  <c r="AP29" i="9" s="1"/>
  <c r="AO28" i="9"/>
  <c r="AO29" i="9" s="1"/>
  <c r="AN28" i="9"/>
  <c r="AN29" i="9" s="1"/>
  <c r="AM28" i="9"/>
  <c r="AM29" i="9" s="1"/>
  <c r="AL28" i="9"/>
  <c r="AL40" i="9" s="1"/>
  <c r="AK28" i="9"/>
  <c r="AK40" i="9" s="1"/>
  <c r="E29" i="14" l="1"/>
  <c r="E21" i="14"/>
  <c r="L44" i="9"/>
  <c r="E30" i="14"/>
  <c r="E22" i="14"/>
  <c r="M44" i="9"/>
  <c r="E31" i="14"/>
  <c r="E23" i="14"/>
  <c r="N44" i="9"/>
  <c r="E32" i="14"/>
  <c r="E24" i="14"/>
  <c r="H29" i="9"/>
  <c r="H44" i="9" s="1"/>
  <c r="E20" i="14"/>
  <c r="E28" i="14"/>
  <c r="F40" i="9"/>
  <c r="E27" i="14" s="1"/>
  <c r="D5" i="5"/>
  <c r="D7" i="5" s="1"/>
  <c r="D5" i="12"/>
  <c r="D7" i="12" s="1"/>
  <c r="D5" i="11"/>
  <c r="D7" i="11" s="1"/>
  <c r="C5" i="13"/>
  <c r="D14" i="10"/>
  <c r="C15" i="10" s="1"/>
  <c r="C14" i="10"/>
  <c r="E29" i="9"/>
  <c r="C5" i="5"/>
  <c r="C7" i="5" s="1"/>
  <c r="AR29" i="9"/>
  <c r="AR44" i="9" s="1"/>
  <c r="F29" i="9"/>
  <c r="AF29" i="9"/>
  <c r="AF44" i="9" s="1"/>
  <c r="AH29" i="9"/>
  <c r="AH44" i="9" s="1"/>
  <c r="AI29" i="9"/>
  <c r="AI44" i="9" s="1"/>
  <c r="E40" i="9"/>
  <c r="AC29" i="9"/>
  <c r="AC44" i="9" s="1"/>
  <c r="AG29" i="9"/>
  <c r="AG44" i="9" s="1"/>
  <c r="I29" i="9"/>
  <c r="I44" i="9" s="1"/>
  <c r="G29" i="9"/>
  <c r="G44" i="9" s="1"/>
  <c r="AB29" i="9"/>
  <c r="AB44" i="9" s="1"/>
  <c r="AD29" i="9"/>
  <c r="AD44" i="9" s="1"/>
  <c r="AQ29" i="9"/>
  <c r="AQ44" i="9" s="1"/>
  <c r="AM40" i="9"/>
  <c r="AM44" i="9" s="1"/>
  <c r="AN40" i="9"/>
  <c r="AN44" i="9" s="1"/>
  <c r="AK29" i="9"/>
  <c r="AK44" i="9" s="1"/>
  <c r="AS29" i="9"/>
  <c r="AS44" i="9" s="1"/>
  <c r="AO40" i="9"/>
  <c r="AO44" i="9" s="1"/>
  <c r="AE29" i="9"/>
  <c r="AE44" i="9" s="1"/>
  <c r="AL29" i="9"/>
  <c r="AL44" i="9" s="1"/>
  <c r="AT29" i="9"/>
  <c r="AT44" i="9" s="1"/>
  <c r="AP40" i="9"/>
  <c r="AP44" i="9" s="1"/>
  <c r="C67" i="6"/>
  <c r="C66" i="6"/>
  <c r="D66" i="6"/>
  <c r="B66" i="6"/>
  <c r="C60" i="6"/>
  <c r="C61" i="6"/>
  <c r="C62" i="6"/>
  <c r="C63" i="6"/>
  <c r="C64" i="6"/>
  <c r="D64" i="6"/>
  <c r="B64" i="6"/>
  <c r="D63" i="6"/>
  <c r="B63" i="6"/>
  <c r="D62" i="6"/>
  <c r="B62" i="6"/>
  <c r="D61" i="6"/>
  <c r="B61" i="6"/>
  <c r="D60" i="6"/>
  <c r="B60" i="6"/>
  <c r="C53" i="6"/>
  <c r="C54" i="6"/>
  <c r="C55" i="6"/>
  <c r="C56" i="6"/>
  <c r="C57" i="6"/>
  <c r="C58" i="6"/>
  <c r="D58" i="6"/>
  <c r="B58" i="6"/>
  <c r="D57" i="6"/>
  <c r="B57" i="6"/>
  <c r="D56" i="6"/>
  <c r="B56" i="6"/>
  <c r="D55" i="6"/>
  <c r="B55" i="6"/>
  <c r="D54" i="6"/>
  <c r="B54" i="6"/>
  <c r="D53" i="6"/>
  <c r="B53" i="6"/>
  <c r="D52" i="6"/>
  <c r="B52" i="6"/>
  <c r="C48" i="6"/>
  <c r="C49" i="6"/>
  <c r="C50" i="6"/>
  <c r="D50" i="6"/>
  <c r="B50" i="6"/>
  <c r="D49" i="6"/>
  <c r="B49" i="6"/>
  <c r="D48" i="6"/>
  <c r="B48" i="6"/>
  <c r="D42" i="6"/>
  <c r="D43" i="6"/>
  <c r="D44" i="6"/>
  <c r="D45" i="6"/>
  <c r="D46" i="6"/>
  <c r="C44" i="6"/>
  <c r="B44" i="6"/>
  <c r="C46" i="6"/>
  <c r="B46" i="6"/>
  <c r="C45" i="6"/>
  <c r="B45" i="6"/>
  <c r="C43" i="6"/>
  <c r="B43" i="6"/>
  <c r="C42" i="6"/>
  <c r="B42" i="6"/>
  <c r="D2" i="6"/>
  <c r="D3" i="6" s="1"/>
  <c r="C2" i="6"/>
  <c r="C13" i="6" s="1"/>
  <c r="F4" i="1"/>
  <c r="I4" i="1" s="1"/>
  <c r="F16" i="1"/>
  <c r="I16" i="1" s="1"/>
  <c r="G3" i="1"/>
  <c r="C3" i="1" s="1"/>
  <c r="F50" i="1"/>
  <c r="F51" i="1"/>
  <c r="F52" i="1"/>
  <c r="F53" i="1"/>
  <c r="F54" i="1"/>
  <c r="G69" i="1"/>
  <c r="F69" i="1"/>
  <c r="G70" i="1" s="1"/>
  <c r="F56" i="1"/>
  <c r="I56" i="1" s="1"/>
  <c r="F34" i="1"/>
  <c r="I34" i="1" s="1"/>
  <c r="F35" i="1"/>
  <c r="I35" i="1" s="1"/>
  <c r="F37" i="1"/>
  <c r="I37" i="1" s="1"/>
  <c r="G38" i="1"/>
  <c r="I38" i="1" s="1"/>
  <c r="F39" i="1"/>
  <c r="I39" i="1" s="1"/>
  <c r="F40" i="1"/>
  <c r="I40" i="1" s="1"/>
  <c r="F41" i="1"/>
  <c r="I41" i="1" s="1"/>
  <c r="F42" i="1"/>
  <c r="I42" i="1" s="1"/>
  <c r="F43" i="1"/>
  <c r="I43" i="1" s="1"/>
  <c r="F44" i="1"/>
  <c r="I44" i="1" s="1"/>
  <c r="F45" i="1"/>
  <c r="I45" i="1" s="1"/>
  <c r="F46" i="1"/>
  <c r="I46" i="1" s="1"/>
  <c r="F47" i="1"/>
  <c r="I47" i="1" s="1"/>
  <c r="F48" i="1"/>
  <c r="I48" i="1" s="1"/>
  <c r="F49" i="1"/>
  <c r="I49" i="1" s="1"/>
  <c r="F55" i="1"/>
  <c r="I55" i="1" s="1"/>
  <c r="I57" i="1"/>
  <c r="F58" i="1"/>
  <c r="I58" i="1" s="1"/>
  <c r="F59" i="1"/>
  <c r="I59" i="1" s="1"/>
  <c r="F61" i="1"/>
  <c r="I61" i="1" s="1"/>
  <c r="F62" i="1"/>
  <c r="I62" i="1" s="1"/>
  <c r="F63" i="1"/>
  <c r="I63" i="1" s="1"/>
  <c r="F64" i="1"/>
  <c r="I64" i="1" s="1"/>
  <c r="F65" i="1"/>
  <c r="I65" i="1" s="1"/>
  <c r="F66" i="1"/>
  <c r="I66" i="1" s="1"/>
  <c r="G50" i="1"/>
  <c r="G51" i="1"/>
  <c r="G52" i="1"/>
  <c r="G53" i="1"/>
  <c r="G54" i="1"/>
  <c r="G56" i="1"/>
  <c r="J56" i="1" s="1"/>
  <c r="G34" i="1"/>
  <c r="J34" i="1" s="1"/>
  <c r="G35" i="1"/>
  <c r="J35" i="1" s="1"/>
  <c r="G37" i="1"/>
  <c r="J37" i="1" s="1"/>
  <c r="F38" i="1"/>
  <c r="J38" i="1" s="1"/>
  <c r="G39" i="1"/>
  <c r="J39" i="1" s="1"/>
  <c r="G40" i="1"/>
  <c r="J40" i="1" s="1"/>
  <c r="G41" i="1"/>
  <c r="J41" i="1" s="1"/>
  <c r="G42" i="1"/>
  <c r="J42" i="1" s="1"/>
  <c r="G43" i="1"/>
  <c r="J43" i="1" s="1"/>
  <c r="G44" i="1"/>
  <c r="J44" i="1" s="1"/>
  <c r="G45" i="1"/>
  <c r="J45" i="1" s="1"/>
  <c r="G46" i="1"/>
  <c r="J46" i="1" s="1"/>
  <c r="G47" i="1"/>
  <c r="J47" i="1" s="1"/>
  <c r="G48" i="1"/>
  <c r="J48" i="1" s="1"/>
  <c r="G49" i="1"/>
  <c r="J49" i="1" s="1"/>
  <c r="G55" i="1"/>
  <c r="J55" i="1" s="1"/>
  <c r="J57" i="1"/>
  <c r="G58" i="1"/>
  <c r="J58" i="1" s="1"/>
  <c r="G59" i="1"/>
  <c r="J59" i="1" s="1"/>
  <c r="G61" i="1"/>
  <c r="J61" i="1" s="1"/>
  <c r="G62" i="1"/>
  <c r="J62" i="1" s="1"/>
  <c r="G63" i="1"/>
  <c r="J63" i="1" s="1"/>
  <c r="G64" i="1"/>
  <c r="J64" i="1" s="1"/>
  <c r="G65" i="1"/>
  <c r="J65" i="1" s="1"/>
  <c r="G66" i="1"/>
  <c r="J66" i="1" s="1"/>
  <c r="I76" i="1"/>
  <c r="H76" i="1"/>
  <c r="I82" i="1"/>
  <c r="H82" i="1"/>
  <c r="F2" i="1"/>
  <c r="B2" i="1" s="1"/>
  <c r="F44" i="9" l="1"/>
  <c r="C8" i="13"/>
  <c r="C11" i="13" s="1"/>
  <c r="C13" i="13" s="1"/>
  <c r="E18" i="14"/>
  <c r="E26" i="14"/>
  <c r="E19" i="14"/>
  <c r="F70" i="1"/>
  <c r="C51" i="11"/>
  <c r="C62" i="11" s="1"/>
  <c r="C11" i="11" s="1"/>
  <c r="C13" i="11" s="1"/>
  <c r="D51" i="11"/>
  <c r="D62" i="11" s="1"/>
  <c r="C51" i="12"/>
  <c r="C62" i="12" s="1"/>
  <c r="C11" i="12" s="1"/>
  <c r="C13" i="12" s="1"/>
  <c r="D51" i="12"/>
  <c r="D62" i="12" s="1"/>
  <c r="D8" i="11"/>
  <c r="D8" i="12"/>
  <c r="D8" i="5"/>
  <c r="D8" i="13"/>
  <c r="D11" i="13" s="1"/>
  <c r="D13" i="13" s="1"/>
  <c r="D16" i="10"/>
  <c r="C16" i="10"/>
  <c r="D20" i="10"/>
  <c r="D15" i="10"/>
  <c r="D21" i="10"/>
  <c r="D22" i="10" s="1"/>
  <c r="C20" i="10"/>
  <c r="D6" i="10"/>
  <c r="C21" i="10"/>
  <c r="C22" i="10" s="1"/>
  <c r="D6" i="11"/>
  <c r="D6" i="12"/>
  <c r="C6" i="5"/>
  <c r="C6" i="10"/>
  <c r="C51" i="5"/>
  <c r="C62" i="5" s="1"/>
  <c r="D51" i="5"/>
  <c r="D62" i="5" s="1"/>
  <c r="D6" i="5"/>
  <c r="E44" i="9"/>
  <c r="C8" i="5"/>
  <c r="F71" i="1"/>
  <c r="I60" i="1" s="1"/>
  <c r="D65" i="6"/>
  <c r="D51" i="6"/>
  <c r="D67" i="6"/>
  <c r="D59" i="6"/>
  <c r="C27" i="6"/>
  <c r="C65" i="6"/>
  <c r="C59" i="6"/>
  <c r="C51" i="6"/>
  <c r="C33" i="6"/>
  <c r="C30" i="6"/>
  <c r="C34" i="6"/>
  <c r="C32" i="6"/>
  <c r="C36" i="6"/>
  <c r="C31" i="6"/>
  <c r="C35" i="6"/>
  <c r="C3" i="6"/>
  <c r="C40" i="6" s="1"/>
  <c r="I33" i="1" s="1"/>
  <c r="D34" i="6"/>
  <c r="D36" i="6"/>
  <c r="D32" i="6"/>
  <c r="D30" i="6"/>
  <c r="D7" i="6"/>
  <c r="D31" i="6"/>
  <c r="D33" i="6"/>
  <c r="D35" i="6"/>
  <c r="D24" i="6"/>
  <c r="D23" i="6"/>
  <c r="D13" i="6"/>
  <c r="D25" i="6"/>
  <c r="D20" i="6"/>
  <c r="D27" i="6"/>
  <c r="C23" i="6"/>
  <c r="C25" i="6"/>
  <c r="C14" i="6"/>
  <c r="C24" i="6"/>
  <c r="D9" i="6"/>
  <c r="D17" i="6"/>
  <c r="C19" i="6"/>
  <c r="C21" i="6"/>
  <c r="D5" i="6"/>
  <c r="D10" i="6"/>
  <c r="C16" i="6"/>
  <c r="D19" i="6"/>
  <c r="D21" i="6"/>
  <c r="D6" i="6"/>
  <c r="D11" i="6"/>
  <c r="D15" i="6"/>
  <c r="C20" i="6"/>
  <c r="C17" i="6"/>
  <c r="C15" i="6"/>
  <c r="D4" i="6"/>
  <c r="D8" i="6"/>
  <c r="D16" i="6"/>
  <c r="D14" i="6"/>
  <c r="C5" i="6"/>
  <c r="C7" i="6"/>
  <c r="C9" i="6"/>
  <c r="C11" i="6"/>
  <c r="C4" i="6"/>
  <c r="C6" i="6"/>
  <c r="C8" i="6"/>
  <c r="C10" i="6"/>
  <c r="G19" i="1"/>
  <c r="J19" i="1" s="1"/>
  <c r="G11" i="1"/>
  <c r="J11" i="1" s="1"/>
  <c r="G27" i="1"/>
  <c r="J27" i="1" s="1"/>
  <c r="G7" i="1"/>
  <c r="J7" i="1" s="1"/>
  <c r="G15" i="1"/>
  <c r="G5" i="1"/>
  <c r="G30" i="1"/>
  <c r="J30" i="1" s="1"/>
  <c r="G26" i="1"/>
  <c r="J26" i="1" s="1"/>
  <c r="G22" i="1"/>
  <c r="G18" i="1"/>
  <c r="J18" i="1" s="1"/>
  <c r="G14" i="1"/>
  <c r="J14" i="1" s="1"/>
  <c r="G10" i="1"/>
  <c r="J10" i="1" s="1"/>
  <c r="G6" i="1"/>
  <c r="J6" i="1" s="1"/>
  <c r="G29" i="1"/>
  <c r="J51" i="1" s="1"/>
  <c r="G25" i="1"/>
  <c r="J25" i="1" s="1"/>
  <c r="G21" i="1"/>
  <c r="G17" i="1"/>
  <c r="J17" i="1" s="1"/>
  <c r="G13" i="1"/>
  <c r="J13" i="1" s="1"/>
  <c r="G9" i="1"/>
  <c r="J9" i="1" s="1"/>
  <c r="G4" i="1"/>
  <c r="J4" i="1" s="1"/>
  <c r="G2" i="1"/>
  <c r="C2" i="1" s="1"/>
  <c r="G28" i="1"/>
  <c r="J28" i="1" s="1"/>
  <c r="G24" i="1"/>
  <c r="J24" i="1" s="1"/>
  <c r="G20" i="1"/>
  <c r="J20" i="1" s="1"/>
  <c r="G16" i="1"/>
  <c r="J16" i="1" s="1"/>
  <c r="G12" i="1"/>
  <c r="J12" i="1" s="1"/>
  <c r="G8" i="1"/>
  <c r="J8" i="1" s="1"/>
  <c r="F14" i="1"/>
  <c r="I14" i="1" s="1"/>
  <c r="F10" i="1"/>
  <c r="I10" i="1" s="1"/>
  <c r="F5" i="1"/>
  <c r="F18" i="1"/>
  <c r="I18" i="1" s="1"/>
  <c r="F8" i="1"/>
  <c r="I8" i="1" s="1"/>
  <c r="F20" i="1"/>
  <c r="I20" i="1" s="1"/>
  <c r="F12" i="1"/>
  <c r="I12" i="1" s="1"/>
  <c r="G33" i="1"/>
  <c r="F29" i="1"/>
  <c r="F27" i="1"/>
  <c r="F25" i="1"/>
  <c r="F22" i="1"/>
  <c r="F6" i="1"/>
  <c r="I6" i="1" s="1"/>
  <c r="F21" i="1"/>
  <c r="F19" i="1"/>
  <c r="I19" i="1" s="1"/>
  <c r="F17" i="1"/>
  <c r="I17" i="1" s="1"/>
  <c r="F15" i="1"/>
  <c r="F13" i="1"/>
  <c r="I13" i="1" s="1"/>
  <c r="F11" i="1"/>
  <c r="I11" i="1" s="1"/>
  <c r="F9" i="1"/>
  <c r="I9" i="1" s="1"/>
  <c r="F3" i="1"/>
  <c r="G71" i="1"/>
  <c r="J60" i="1" s="1"/>
  <c r="F30" i="1"/>
  <c r="F28" i="1"/>
  <c r="F26" i="1"/>
  <c r="F24" i="1"/>
  <c r="F7" i="1"/>
  <c r="D14" i="13" l="1"/>
  <c r="C14" i="13"/>
  <c r="D11" i="12"/>
  <c r="D13" i="12" s="1"/>
  <c r="D14" i="12" s="1"/>
  <c r="D11" i="11"/>
  <c r="D13" i="11" s="1"/>
  <c r="C14" i="11" s="1"/>
  <c r="D18" i="10"/>
  <c r="D17" i="10"/>
  <c r="C17" i="10"/>
  <c r="C18" i="10"/>
  <c r="C11" i="5"/>
  <c r="C13" i="5" s="1"/>
  <c r="D11" i="5"/>
  <c r="D13" i="5" s="1"/>
  <c r="C37" i="6"/>
  <c r="D40" i="6"/>
  <c r="D37" i="6"/>
  <c r="D12" i="6"/>
  <c r="D26" i="6"/>
  <c r="C26" i="6"/>
  <c r="I26" i="1"/>
  <c r="C22" i="6"/>
  <c r="D22" i="6"/>
  <c r="D18" i="6"/>
  <c r="C18" i="6"/>
  <c r="C12" i="6"/>
  <c r="J21" i="1"/>
  <c r="J54" i="1"/>
  <c r="J53" i="1"/>
  <c r="J29" i="1"/>
  <c r="J31" i="1" s="1"/>
  <c r="J50" i="1"/>
  <c r="J15" i="1"/>
  <c r="J52" i="1"/>
  <c r="I15" i="1"/>
  <c r="F33" i="1"/>
  <c r="B3" i="1"/>
  <c r="I29" i="1"/>
  <c r="I52" i="1"/>
  <c r="I28" i="1"/>
  <c r="I51" i="1"/>
  <c r="I50" i="1"/>
  <c r="I53" i="1"/>
  <c r="I7" i="1"/>
  <c r="I30" i="1"/>
  <c r="I25" i="1"/>
  <c r="I54" i="1"/>
  <c r="I24" i="1"/>
  <c r="I27" i="1"/>
  <c r="C14" i="12" l="1"/>
  <c r="D16" i="12" s="1"/>
  <c r="D14" i="11"/>
  <c r="D16" i="11" s="1"/>
  <c r="C15" i="12"/>
  <c r="D15" i="12"/>
  <c r="D16" i="13"/>
  <c r="D20" i="13"/>
  <c r="D21" i="13"/>
  <c r="D22" i="13" s="1"/>
  <c r="C16" i="13"/>
  <c r="C20" i="13"/>
  <c r="C21" i="13"/>
  <c r="C22" i="13" s="1"/>
  <c r="C15" i="13"/>
  <c r="D15" i="13"/>
  <c r="D19" i="10"/>
  <c r="C19" i="10"/>
  <c r="C14" i="5"/>
  <c r="D14" i="5"/>
  <c r="D15" i="5" s="1"/>
  <c r="C28" i="6"/>
  <c r="D28" i="6"/>
  <c r="J22" i="1"/>
  <c r="C4" i="1" s="1"/>
  <c r="C5" i="1" s="1"/>
  <c r="I22" i="1"/>
  <c r="B4" i="1" s="1"/>
  <c r="I31" i="1"/>
  <c r="J33" i="1"/>
  <c r="C15" i="11" l="1"/>
  <c r="C16" i="11"/>
  <c r="C21" i="11"/>
  <c r="C22" i="11" s="1"/>
  <c r="D20" i="11"/>
  <c r="D21" i="11"/>
  <c r="D22" i="11" s="1"/>
  <c r="C20" i="11"/>
  <c r="D20" i="12"/>
  <c r="C16" i="12"/>
  <c r="C21" i="12"/>
  <c r="C22" i="12" s="1"/>
  <c r="C20" i="12"/>
  <c r="D21" i="12"/>
  <c r="D22" i="12" s="1"/>
  <c r="D15" i="11"/>
  <c r="C18" i="13"/>
  <c r="C17" i="13"/>
  <c r="D18" i="13"/>
  <c r="D17" i="13"/>
  <c r="D21" i="5"/>
  <c r="D22" i="5" s="1"/>
  <c r="C21" i="5"/>
  <c r="C22" i="5" s="1"/>
  <c r="D20" i="5"/>
  <c r="C20" i="5"/>
  <c r="D16" i="5"/>
  <c r="C16" i="5"/>
  <c r="C15" i="5"/>
  <c r="D41" i="6"/>
  <c r="D29" i="6"/>
  <c r="C29" i="6"/>
  <c r="C41" i="6"/>
  <c r="C38" i="6"/>
  <c r="D38" i="6"/>
  <c r="C6" i="1"/>
  <c r="B6" i="1"/>
  <c r="B5" i="1"/>
  <c r="I36" i="1"/>
  <c r="I67" i="1" s="1"/>
  <c r="J36" i="1"/>
  <c r="J67" i="1" s="1"/>
  <c r="C17" i="11" l="1"/>
  <c r="C18" i="11"/>
  <c r="D18" i="11"/>
  <c r="D17" i="11"/>
  <c r="C18" i="12"/>
  <c r="C17" i="12"/>
  <c r="D17" i="12"/>
  <c r="D18" i="12"/>
  <c r="C19" i="13"/>
  <c r="D19" i="13"/>
  <c r="D17" i="5"/>
  <c r="D18" i="5"/>
  <c r="C17" i="5"/>
  <c r="C18" i="5"/>
  <c r="C47" i="6"/>
  <c r="D47" i="6"/>
  <c r="C8" i="1"/>
  <c r="B8" i="1"/>
  <c r="G73" i="1"/>
  <c r="C19" i="11" l="1"/>
  <c r="D19" i="11"/>
  <c r="D19" i="12"/>
  <c r="C19" i="12"/>
  <c r="D19" i="5"/>
  <c r="C19" i="5"/>
  <c r="H73" i="1"/>
  <c r="I73" i="1"/>
  <c r="H81" i="1" l="1"/>
  <c r="H84" i="1" s="1"/>
  <c r="B14" i="1" s="1"/>
  <c r="I87" i="1"/>
  <c r="I90" i="1" s="1"/>
  <c r="H87" i="1"/>
  <c r="H90" i="1" s="1"/>
  <c r="I81" i="1"/>
  <c r="I84" i="1" s="1"/>
  <c r="C14" i="1" s="1"/>
  <c r="I75" i="1"/>
  <c r="I78" i="1" s="1"/>
  <c r="H75" i="1"/>
  <c r="H78" i="1" s="1"/>
  <c r="H91" i="1" l="1"/>
  <c r="B12" i="1" s="1"/>
  <c r="B15" i="1"/>
  <c r="C15" i="1"/>
  <c r="I91" i="1"/>
  <c r="C12" i="1" s="1"/>
  <c r="B13" i="1" l="1"/>
  <c r="C13" i="1"/>
</calcChain>
</file>

<file path=xl/sharedStrings.xml><?xml version="1.0" encoding="utf-8"?>
<sst xmlns="http://schemas.openxmlformats.org/spreadsheetml/2006/main" count="2559" uniqueCount="433">
  <si>
    <t>BFR</t>
  </si>
  <si>
    <t>Troop Class</t>
  </si>
  <si>
    <t>BR</t>
  </si>
  <si>
    <t>NewGallo Militia</t>
  </si>
  <si>
    <t>Firenewt Infantry</t>
  </si>
  <si>
    <t>Firenewt Cavalry</t>
  </si>
  <si>
    <t>Number of Troops</t>
  </si>
  <si>
    <t>Leader Level</t>
  </si>
  <si>
    <t>Leader Intelligence</t>
  </si>
  <si>
    <t>Leader Wisdom</t>
  </si>
  <si>
    <t>Leader Charisma</t>
  </si>
  <si>
    <t>Number of Officers with Leadership Feat</t>
  </si>
  <si>
    <t>Number of Officers</t>
  </si>
  <si>
    <t>Average Levels of Officers</t>
  </si>
  <si>
    <t>Average Level of Troops</t>
  </si>
  <si>
    <t>Unit Name</t>
  </si>
  <si>
    <t>Number of Victories in last 10 years</t>
  </si>
  <si>
    <t>Number of Routs in last 10 years</t>
  </si>
  <si>
    <t>Number of Training Weeks in Last Year</t>
  </si>
  <si>
    <t>Number of Training Weeks With Leader in Last Year</t>
  </si>
  <si>
    <t>Number of Months on Duty</t>
  </si>
  <si>
    <t>Training</t>
  </si>
  <si>
    <t>Leadership</t>
  </si>
  <si>
    <t>Experience</t>
  </si>
  <si>
    <t>Equipment</t>
  </si>
  <si>
    <t>Weapon Quality</t>
  </si>
  <si>
    <t>Secondary Weapon Quality</t>
  </si>
  <si>
    <t>Average Armor Class</t>
  </si>
  <si>
    <t>Special Troops Factor (Dwarves / Elves)</t>
  </si>
  <si>
    <t>Special</t>
  </si>
  <si>
    <t>Ducal Marines</t>
  </si>
  <si>
    <t>Basic</t>
  </si>
  <si>
    <t>Untrained</t>
  </si>
  <si>
    <t>Poor</t>
  </si>
  <si>
    <t>Below Average</t>
  </si>
  <si>
    <t>Fair</t>
  </si>
  <si>
    <t>Average</t>
  </si>
  <si>
    <t>Good</t>
  </si>
  <si>
    <t>Excellent</t>
  </si>
  <si>
    <t>Elite</t>
  </si>
  <si>
    <t>Special Qualities Factor</t>
  </si>
  <si>
    <t>Number of Troops with Special Qualities</t>
  </si>
  <si>
    <t>BFR Bonus</t>
  </si>
  <si>
    <t xml:space="preserve"> </t>
  </si>
  <si>
    <t>Number Mounted</t>
  </si>
  <si>
    <t>Number Use Missiles</t>
  </si>
  <si>
    <t>Number Long Missile Range</t>
  </si>
  <si>
    <t>Number Use Magical Abilities</t>
  </si>
  <si>
    <t>Number Cast Spells</t>
  </si>
  <si>
    <t>Number Flying</t>
  </si>
  <si>
    <t>Number Fast Movement Rate</t>
  </si>
  <si>
    <t>BR Bonus</t>
  </si>
  <si>
    <t>Ratio</t>
  </si>
  <si>
    <t>In Dominion</t>
  </si>
  <si>
    <t>Beaten Foe Before</t>
  </si>
  <si>
    <t>On the March</t>
  </si>
  <si>
    <t>Accompanied Force Routed ?</t>
  </si>
  <si>
    <t>N</t>
  </si>
  <si>
    <t>Morale</t>
  </si>
  <si>
    <t>Extremely Favorable Environment</t>
  </si>
  <si>
    <t>Night Vision in Night Battle</t>
  </si>
  <si>
    <t>Environment</t>
  </si>
  <si>
    <t>Extremely Unfavorable Environment</t>
  </si>
  <si>
    <t>Higher than Opponent</t>
  </si>
  <si>
    <t>Halflings in Fields or Woods</t>
  </si>
  <si>
    <t>Dwarves in Mountains</t>
  </si>
  <si>
    <t>Elves in Woods</t>
  </si>
  <si>
    <t>Mounted in Moutains / Woods / Stronghold</t>
  </si>
  <si>
    <t>Mire / Marsh / Mud (If Affected)</t>
  </si>
  <si>
    <t>Shifting Ground / Snow / Sand (If Affected)</t>
  </si>
  <si>
    <t>Defending Defile / Pass / Bridge</t>
  </si>
  <si>
    <t>Attacker must Cross Deep Water</t>
  </si>
  <si>
    <t>Defending in Mountains / Hills / Rough / Behind Wall</t>
  </si>
  <si>
    <t>Defending in Stronghold</t>
  </si>
  <si>
    <t>Terrain</t>
  </si>
  <si>
    <t>% Immune To Ennemy Attacks</t>
  </si>
  <si>
    <t>Immunities</t>
  </si>
  <si>
    <t>Fatigue</t>
  </si>
  <si>
    <t xml:space="preserve"> Defender Holding Ground</t>
  </si>
  <si>
    <t>Combat Bonus</t>
  </si>
  <si>
    <t>Bonus</t>
  </si>
  <si>
    <t>Roll</t>
  </si>
  <si>
    <t>Combat Results Table</t>
  </si>
  <si>
    <t>R</t>
  </si>
  <si>
    <t>D</t>
  </si>
  <si>
    <t>F</t>
  </si>
  <si>
    <t>F+1</t>
  </si>
  <si>
    <t>F+3</t>
  </si>
  <si>
    <t>F+5</t>
  </si>
  <si>
    <t>B</t>
  </si>
  <si>
    <t>B+1</t>
  </si>
  <si>
    <t>B+2</t>
  </si>
  <si>
    <t>B+3</t>
  </si>
  <si>
    <t xml:space="preserve">Difference </t>
  </si>
  <si>
    <t>Casualties</t>
  </si>
  <si>
    <t>Location</t>
  </si>
  <si>
    <t>Troops</t>
  </si>
  <si>
    <t>Fatigue Level (None = 0 / Moderate = 1 / Serious = 2)</t>
  </si>
  <si>
    <t>Not Fatigued</t>
  </si>
  <si>
    <t>Moderately Fatigued</t>
  </si>
  <si>
    <t>Seriously Fatigued</t>
  </si>
  <si>
    <t>Exhausted (Unable to fight)</t>
  </si>
  <si>
    <t>Dead</t>
  </si>
  <si>
    <t>The force holds the battlefield after the battle.</t>
  </si>
  <si>
    <t>The force must retreat from the field.</t>
  </si>
  <si>
    <t>The force can advance One (1) Terrain Units.</t>
  </si>
  <si>
    <t>The force can advance Three (3) Terrain Units.</t>
  </si>
  <si>
    <t>The force can advance Five (5) Terrain Units.</t>
  </si>
  <si>
    <t>The force must retreat One (1) Terrain Units.</t>
  </si>
  <si>
    <t>The force must retreat Two (2) Terrain Units.</t>
  </si>
  <si>
    <t>The force must retreat Three (3) Terrain Units.</t>
  </si>
  <si>
    <t>Location Results</t>
  </si>
  <si>
    <t>Wounded</t>
  </si>
  <si>
    <t>Defender Besieged</t>
  </si>
  <si>
    <t>Weeks of Siege Preparation</t>
  </si>
  <si>
    <t>H</t>
  </si>
  <si>
    <t>The force is annihilated.</t>
  </si>
  <si>
    <t>The besieged defender holds the place.</t>
  </si>
  <si>
    <t>Siege</t>
  </si>
  <si>
    <t>Tactics (1=Attack to Overrun, 2=Attack, 3=Envelope, 4=Trap, 5=Hold, 6=Withdraw)</t>
  </si>
  <si>
    <t>Tactics Casualties</t>
  </si>
  <si>
    <t>Attack+</t>
  </si>
  <si>
    <t>Envelope</t>
  </si>
  <si>
    <t>Trap</t>
  </si>
  <si>
    <t>Hold</t>
  </si>
  <si>
    <t>Withdraw</t>
  </si>
  <si>
    <t>Attack</t>
  </si>
  <si>
    <t>Tactics Bonus</t>
  </si>
  <si>
    <t>Tactics</t>
  </si>
  <si>
    <t>Show Mercy ?</t>
  </si>
  <si>
    <t>Received Mercy from Adversary within One Year</t>
  </si>
  <si>
    <t>Information (3=Traitor/Spy/Stolen Plans, 2=Good Reconnaissance, 1=Some Reconnaissance, 0=Standard, -1=Misinformation</t>
  </si>
  <si>
    <t>Surprise (0=None, 1=surprise attack on encampment, 2=Surprise Attack from Ambush)</t>
  </si>
  <si>
    <t>Actions</t>
  </si>
  <si>
    <t xml:space="preserve">Number of Leader Heroic Task Successful </t>
  </si>
  <si>
    <t>Number of "Hero" Heroic Task Successful</t>
  </si>
  <si>
    <t>Number of Leader Heroic Task Failed</t>
  </si>
  <si>
    <t>Number of "Hero" Heroic Task Failed</t>
  </si>
  <si>
    <t>Enemy Leader "Removed"</t>
  </si>
  <si>
    <t>Number of Enemy Officers "Removed"</t>
  </si>
  <si>
    <t>The force ceases to exist as such. Survivors (if any) will appear at home a few days or weeks later.</t>
  </si>
  <si>
    <t>Coalbold Skimishers</t>
  </si>
  <si>
    <t xml:space="preserve">  j2</t>
  </si>
  <si>
    <t>Average Level / HDs of Troops</t>
  </si>
  <si>
    <t>NewGallo
Militia</t>
  </si>
  <si>
    <t>Ducal
Marines</t>
  </si>
  <si>
    <t>Firenewt
Infantry</t>
  </si>
  <si>
    <t>Firenewt
Cavalry</t>
  </si>
  <si>
    <t xml:space="preserve">Force Characteristics     </t>
  </si>
  <si>
    <t>Average Level of the Troops</t>
  </si>
  <si>
    <t>Goblin
Skimishers</t>
  </si>
  <si>
    <r>
      <t xml:space="preserve">Leader has </t>
    </r>
    <r>
      <rPr>
        <b/>
        <i/>
        <sz val="10"/>
        <rFont val="Arial"/>
        <family val="2"/>
      </rPr>
      <t>Inspiring Leader</t>
    </r>
    <r>
      <rPr>
        <sz val="10"/>
        <rFont val="Arial"/>
        <family val="2"/>
      </rPr>
      <t xml:space="preserve"> Feat ?</t>
    </r>
  </si>
  <si>
    <t>Y</t>
  </si>
  <si>
    <t>% of the Force that is level 5-10</t>
  </si>
  <si>
    <t>% of the Force that is level 11-16</t>
  </si>
  <si>
    <t>% of the Force that is level 17-20</t>
  </si>
  <si>
    <t>Leader Int</t>
  </si>
  <si>
    <t>Leader Wis</t>
  </si>
  <si>
    <t>Leader Cha</t>
  </si>
  <si>
    <t>Inspiring Leader?</t>
  </si>
  <si>
    <t>% Force level 5-10</t>
  </si>
  <si>
    <t>% Force level 11-16</t>
  </si>
  <si>
    <t>% Force level 17-20</t>
  </si>
  <si>
    <t>Leadership Factor</t>
  </si>
  <si>
    <t>Average Level of the Officers</t>
  </si>
  <si>
    <t>Percentage of Officers in the Force</t>
  </si>
  <si>
    <t>Average Troops Level</t>
  </si>
  <si>
    <t>Victories</t>
  </si>
  <si>
    <t>Routs</t>
  </si>
  <si>
    <t>Average Officers Level</t>
  </si>
  <si>
    <t>Percentage of Officers</t>
  </si>
  <si>
    <t>Experience Factor</t>
  </si>
  <si>
    <t>Training Weeks</t>
  </si>
  <si>
    <t>With Leader</t>
  </si>
  <si>
    <t>Months on Duty</t>
  </si>
  <si>
    <t>Training Factor</t>
  </si>
  <si>
    <t>Second Weapon of Same Quality ?</t>
  </si>
  <si>
    <t>Secondary Weapon</t>
  </si>
  <si>
    <t>Armor Class</t>
  </si>
  <si>
    <t>Armor Class (AC)</t>
  </si>
  <si>
    <t>Equipment Factor</t>
  </si>
  <si>
    <t>Special Troop Factor</t>
  </si>
  <si>
    <t>Special Troop  Factor</t>
  </si>
  <si>
    <t>Basic Force Rating</t>
  </si>
  <si>
    <t>Troop  Quality</t>
  </si>
  <si>
    <t>Basic Force Rating (BFR)</t>
  </si>
  <si>
    <t>Troop Quality</t>
  </si>
  <si>
    <t>Percentage Mounted</t>
  </si>
  <si>
    <t>Percentage Use Missiles</t>
  </si>
  <si>
    <t>Percentage Long Missile Range</t>
  </si>
  <si>
    <t>Percentage Use Magical Abilities</t>
  </si>
  <si>
    <t>Percentage Cast Spells</t>
  </si>
  <si>
    <t>Percentage Flying</t>
  </si>
  <si>
    <t>Average Movement Rate</t>
  </si>
  <si>
    <t>Battle Rating</t>
  </si>
  <si>
    <t>Drow
Raiders</t>
  </si>
  <si>
    <t>In Dominion of their Liege ?</t>
  </si>
  <si>
    <t>Attacking an enemy "on the march" ?</t>
  </si>
  <si>
    <t>Any accompanying force has been routed ?</t>
  </si>
  <si>
    <t>Yes</t>
  </si>
  <si>
    <t>No</t>
  </si>
  <si>
    <t>Have beaten this foe before?</t>
  </si>
  <si>
    <t>Have received mercy from foe within one year ?</t>
  </si>
  <si>
    <t>Troop Quality Level</t>
  </si>
  <si>
    <t>In extremely favorable environment ?</t>
  </si>
  <si>
    <t>In extremely unfavorable environment ?</t>
  </si>
  <si>
    <t>Higher than Opponent ?</t>
  </si>
  <si>
    <t>Halflings in Fields or Woods ?</t>
  </si>
  <si>
    <t>Elves in Woods ?</t>
  </si>
  <si>
    <t>Dwarves in Mountains ?</t>
  </si>
  <si>
    <t>Mounted in Moutains / Woods / Stronghold ?</t>
  </si>
  <si>
    <t>Mire / Marsh / Mud (If Affected) ?</t>
  </si>
  <si>
    <t>Shifting Ground / Snow / Sand (If Affected) ?</t>
  </si>
  <si>
    <t>Defensive Position</t>
  </si>
  <si>
    <t xml:space="preserve"> Defender Holding Ground ?</t>
  </si>
  <si>
    <t>Defending Narrow Defile, Pass, or Bridge ?</t>
  </si>
  <si>
    <t>Attacker must Cross Deep Water ?</t>
  </si>
  <si>
    <t>Defending in Mountains, Hills, Rough Terrain or Behind a Wall ?</t>
  </si>
  <si>
    <t>Exhaustion</t>
  </si>
  <si>
    <t>Levels of Exhaustion of the Force</t>
  </si>
  <si>
    <t>Orc Raiders</t>
  </si>
  <si>
    <t>Human Cavalry</t>
  </si>
  <si>
    <t>Elven Archers</t>
  </si>
  <si>
    <t>Dwarven Infantry</t>
  </si>
  <si>
    <t>Night battle and the entire force has darkvision ?</t>
  </si>
  <si>
    <t>Defending in Stronghold ?</t>
  </si>
  <si>
    <t xml:space="preserve">Number of troops in the Force, including Leader, Officers, Troops and Mounts </t>
  </si>
  <si>
    <t>Column1</t>
  </si>
  <si>
    <t>% Officers</t>
  </si>
  <si>
    <t>Officers</t>
  </si>
  <si>
    <t>Commander</t>
  </si>
  <si>
    <t>Lemure</t>
  </si>
  <si>
    <t>Nupperibo</t>
  </si>
  <si>
    <t>Bearded Devil</t>
  </si>
  <si>
    <t>Barbed Devil</t>
  </si>
  <si>
    <t>Commander Level</t>
  </si>
  <si>
    <t>Commander Intellligence</t>
  </si>
  <si>
    <t>Commander Wisdom</t>
  </si>
  <si>
    <t>Commander Charisma</t>
  </si>
  <si>
    <r>
      <t xml:space="preserve">Commander has </t>
    </r>
    <r>
      <rPr>
        <b/>
        <i/>
        <sz val="10"/>
        <rFont val="Arial"/>
        <family val="2"/>
      </rPr>
      <t>Inspiring Leader</t>
    </r>
    <r>
      <rPr>
        <sz val="10"/>
        <rFont val="Arial"/>
        <family val="2"/>
      </rPr>
      <t xml:space="preserve"> Feat ?</t>
    </r>
  </si>
  <si>
    <t>Number of Training Weeks With Commander in Last Year</t>
  </si>
  <si>
    <t>Speed</t>
  </si>
  <si>
    <t>Size</t>
  </si>
  <si>
    <t>Medium</t>
  </si>
  <si>
    <t>Imps with Spined Devil Officers and White Abishai Commander</t>
  </si>
  <si>
    <t>Imp</t>
  </si>
  <si>
    <t>Spined Devil</t>
  </si>
  <si>
    <t>White Abishai</t>
  </si>
  <si>
    <t>Merregon</t>
  </si>
  <si>
    <t>Bearded Devils with Barbed Devils Officers and Bone Devil Commander</t>
  </si>
  <si>
    <t>Bone Devil</t>
  </si>
  <si>
    <t>Horned Devil</t>
  </si>
  <si>
    <t>Notes</t>
  </si>
  <si>
    <t>Homebrewery Text</t>
  </si>
  <si>
    <t>Merregons with Boned Devils Officers and Horned Devil Commander</t>
  </si>
  <si>
    <t>Damage Resistances Acid, Cold; Bludgeoning, Piercing, and Slashing from Nonmagical Attacks that aren't Silvered
Damage Immunities Fire, Poison
Condition Immunities Blinded, Charmed, Frightened, Poisoned
Senses Blindsight 10 ft. (blind beyond this radius)</t>
  </si>
  <si>
    <t>Flight
Magic Resistance
Damage Resistances Cold; Bludgeoning, Piercing, and Slashing from Nonmagical Attacks that aren't Silvered
Damage Immunities Fire, Poison
Condition Immunities Poisoned</t>
  </si>
  <si>
    <t>Magic Resistance
Damage Resistances Cold; Bludgeoning, Piercing, and Slashing from Nonmagical Attacks that aren't Silvered
Damage Immunities Fire, Poison
Condition Immunities Poisoned</t>
  </si>
  <si>
    <t>Elite
Magic Resistance
Damage Resistances Cold; Bludgeoning, Piercing, and Slashing from Nonmagical Attacks that aren't Silvered
Damage Immunities Fire, Poison
Condition Immunities Frightened, Poisoned</t>
  </si>
  <si>
    <t>Lemures with Bearded Devil Officers and Barbed Devil Commander</t>
  </si>
  <si>
    <t>Battle Rating (BR)</t>
  </si>
  <si>
    <t>Dretches with Rutterkin Officers and Babau Commander</t>
  </si>
  <si>
    <t>Small</t>
  </si>
  <si>
    <t>Dretch</t>
  </si>
  <si>
    <t>Rutterkin</t>
  </si>
  <si>
    <t>Babau</t>
  </si>
  <si>
    <t>Damage Resistances Cold, Fire, Lightning
Damage Immunities Poison
Condition Immunities Poisoned</t>
  </si>
  <si>
    <t>Rutterkins with Bulezeau Officers and Babau Commander</t>
  </si>
  <si>
    <t>Bulezeau</t>
  </si>
  <si>
    <t>Damage Resistances Cold, Fire, Lightning
Damage Immunities Poison
Condition Immunities Charmed, Frightened, Poisoned</t>
  </si>
  <si>
    <t>Bulezeaus with Babaus Officers and Shadow Demon Commander</t>
  </si>
  <si>
    <t>Shadow Demon</t>
  </si>
  <si>
    <t>Babaus with Shadow Demon Officers and Glabrezu Commander</t>
  </si>
  <si>
    <t>Glabrezu</t>
  </si>
  <si>
    <t>Large</t>
  </si>
  <si>
    <t>Barlgura</t>
  </si>
  <si>
    <t>Armanite</t>
  </si>
  <si>
    <t>Mezzoloth</t>
  </si>
  <si>
    <t>Nycaloth</t>
  </si>
  <si>
    <t>Damage Resistances Cold, Fire, Lightning; Bludgeoning, Piercing, and Slashing from Nonmagical Attacks
Damage Immunities Acid, Poison
Condition Immunities Poisoned</t>
  </si>
  <si>
    <t>Arcanaloth</t>
  </si>
  <si>
    <t>Armanites with Shadow Demon Officers and Glabrezu Nalfeshnee Commander</t>
  </si>
  <si>
    <t>Barlguras with Armanite Officers and Glabrezu Commander</t>
  </si>
  <si>
    <t>Nalfeshnee</t>
  </si>
  <si>
    <t>Damage Resistances Cold, Fire, Lightning; Bludgeoning, Piercing, and Slashing from Nonmagical Attacks
Damage Immunities Poison
Condition Immunities Poisoned</t>
  </si>
  <si>
    <t>Huge</t>
  </si>
  <si>
    <t>Light War Machine Units (Devil's Ride / Bearded / Barbed)</t>
  </si>
  <si>
    <t>Light War Machine Units (Tormentors / Bearded / Barbed)2</t>
  </si>
  <si>
    <t>Heavy War Machines Unit (Demon Grinder / Merregons / Bone Devil)</t>
  </si>
  <si>
    <t>Gargantuan</t>
  </si>
  <si>
    <t>Difference in Troop Class</t>
  </si>
  <si>
    <t>Immune to enemy's attacks ?</t>
  </si>
  <si>
    <t>1% of force immune to enemy's attacks ?</t>
  </si>
  <si>
    <t>Immune to 80% of enemy's attacks</t>
  </si>
  <si>
    <t>Resistant to 80% of enemy's attacks</t>
  </si>
  <si>
    <t>Immunities &amp; Resistances</t>
  </si>
  <si>
    <t>NC</t>
  </si>
  <si>
    <t>Tactic Employed</t>
  </si>
  <si>
    <t>Tactic Value</t>
  </si>
  <si>
    <t xml:space="preserve">Casualties </t>
  </si>
  <si>
    <t>Tactics Effect</t>
  </si>
  <si>
    <t>Effect</t>
  </si>
  <si>
    <t>Envelop</t>
  </si>
  <si>
    <t>Results</t>
  </si>
  <si>
    <t>Battle Power</t>
  </si>
  <si>
    <t>Dice Roll</t>
  </si>
  <si>
    <t>Battle Result</t>
  </si>
  <si>
    <t>Leader Actions</t>
  </si>
  <si>
    <t>Misinformation ?</t>
  </si>
  <si>
    <t>Surprise Attack from Ambush ?</t>
  </si>
  <si>
    <t>Surprise Attack on Encampment ?</t>
  </si>
  <si>
    <t>Detailed Plan, or with Traitor or Spy ?</t>
  </si>
  <si>
    <t>Good Reconnaissance ?</t>
  </si>
  <si>
    <t>Some Reconnaissance ?</t>
  </si>
  <si>
    <t>Casualty  Percent</t>
  </si>
  <si>
    <t>Battle Result Table Index</t>
  </si>
  <si>
    <t>Mercy ?</t>
  </si>
  <si>
    <t>Winner / Loser</t>
  </si>
  <si>
    <t>Nupperibos with Bearded Devil Officers and Barbed Devil Commander</t>
  </si>
  <si>
    <t>Killed</t>
  </si>
  <si>
    <t xml:space="preserve">Exhaustion Level(s) </t>
  </si>
  <si>
    <t>77th Cavalty - Light War Machine Units (Tormentors / Bearded / Barbed)</t>
  </si>
  <si>
    <t>Mad Maggie's - Madcaps with Redcap Officers and Nighthag Commander</t>
  </si>
  <si>
    <t>Madcap</t>
  </si>
  <si>
    <t>Redcap</t>
  </si>
  <si>
    <t>Night Hag</t>
  </si>
  <si>
    <t>Goreguts - Wererats with Wereboar Officers and Wereboar Commander</t>
  </si>
  <si>
    <t>Wererat</t>
  </si>
  <si>
    <t>Wereboar</t>
  </si>
  <si>
    <t>Damage Immunities Bludgeoning, Piercing, and Slashing from Nonmagical Attacks that aren't Silvered</t>
  </si>
  <si>
    <t>Raggadragga - Heavy War Machines Unit (Demon Grinder / Wereboars / Wereboars)</t>
  </si>
  <si>
    <t>y</t>
  </si>
  <si>
    <t>Bitter Breath's Marauders - Hobgoblins with Hobgoblins Captains Officers and Horned Devil Commander</t>
  </si>
  <si>
    <t>Feonor's Golden Gloom - Ghouls with Ghast Officers and Archmage Commander</t>
  </si>
  <si>
    <t>Princeps Kovik's Eight Remnant - Lemures with Bearded Devil Officers and Chain Devil Commander</t>
  </si>
  <si>
    <t>The Court of Filth - Cranium Rats</t>
  </si>
  <si>
    <t>Hobgoblin</t>
  </si>
  <si>
    <t>Hobgoblin Captain</t>
  </si>
  <si>
    <t>Damage Immunities Poison
Condition Immunities Charmed, Exhaustion, Poisoned</t>
  </si>
  <si>
    <t>Ogre</t>
  </si>
  <si>
    <t>Cranium Rat</t>
  </si>
  <si>
    <t>Swarm of Cranium Rats</t>
  </si>
  <si>
    <t>Chain Devil</t>
  </si>
  <si>
    <t>Archmage</t>
  </si>
  <si>
    <t>Ghast</t>
  </si>
  <si>
    <t>Ghoul</t>
  </si>
  <si>
    <t>Damage Resistances Bludgeoning, Piercing, Slashing
Condition Immunities Charmed, Frightened, Grappled, Paralyzed, Petrified, Prone, Restrained, Stunned</t>
  </si>
  <si>
    <t>Tiny</t>
  </si>
  <si>
    <t>Herlekin</t>
  </si>
  <si>
    <t>77th Infantry - Herlekins with Bearded Devil Officers and Barbed Devil Commander</t>
  </si>
  <si>
    <t>77th Sappers -  Ice Stalkers with Bearded Devil Officers and Barbed Devil Commander</t>
  </si>
  <si>
    <t>Strychiost</t>
  </si>
  <si>
    <t>Big Chief Demoneater - Ogres with Hill Giant Officers and Commander</t>
  </si>
  <si>
    <t>Bitter Breath's Crushers - Light War Machine Units (Tormentors / Hobgoblins / Hobgoblins Captains )</t>
  </si>
  <si>
    <t>PCs</t>
  </si>
  <si>
    <t>Bel</t>
  </si>
  <si>
    <t>Zariel</t>
  </si>
  <si>
    <t>Graz'zt</t>
  </si>
  <si>
    <t>77th Blizzard Strike</t>
  </si>
  <si>
    <t>Infantry</t>
  </si>
  <si>
    <t>Sappers</t>
  </si>
  <si>
    <t>Allies</t>
  </si>
  <si>
    <t>Cavalry</t>
  </si>
  <si>
    <t>77th Cavalry - Light War Machine Units (Tormentors / Bearded / Barbed)</t>
  </si>
  <si>
    <t>Side</t>
  </si>
  <si>
    <t>Unit</t>
  </si>
  <si>
    <t>Force</t>
  </si>
  <si>
    <t>Profanator</t>
  </si>
  <si>
    <t>Lemures
Equivalent</t>
  </si>
  <si>
    <t>Battle
Rating</t>
  </si>
  <si>
    <t>Marauders</t>
  </si>
  <si>
    <t>Crushers</t>
  </si>
  <si>
    <t>Description</t>
  </si>
  <si>
    <t>Feonor's</t>
  </si>
  <si>
    <t>Maggie's</t>
  </si>
  <si>
    <t>Madcaps</t>
  </si>
  <si>
    <t>Goreguts</t>
  </si>
  <si>
    <t>Raggadragga's</t>
  </si>
  <si>
    <t>Bitter Breath's</t>
  </si>
  <si>
    <t>Golden Gloom</t>
  </si>
  <si>
    <t>Eight Remnant</t>
  </si>
  <si>
    <t>The Court of Filth</t>
  </si>
  <si>
    <t>Demoneaters</t>
  </si>
  <si>
    <t>Cranium Rat Pods</t>
  </si>
  <si>
    <t>Shemeshka</t>
  </si>
  <si>
    <t>Heavy Infantry</t>
  </si>
  <si>
    <t>Lemures</t>
  </si>
  <si>
    <t>Nupperibos</t>
  </si>
  <si>
    <t>Imps</t>
  </si>
  <si>
    <t>Merregons</t>
  </si>
  <si>
    <t>Dretches</t>
  </si>
  <si>
    <t>Rutterkins</t>
  </si>
  <si>
    <t>Bulezeaus</t>
  </si>
  <si>
    <t>Babaus</t>
  </si>
  <si>
    <t>Armanites</t>
  </si>
  <si>
    <t>Skirmishers</t>
  </si>
  <si>
    <t>Light Cavalry</t>
  </si>
  <si>
    <t>Heavy Cavalry</t>
  </si>
  <si>
    <t>Bearded Devils</t>
  </si>
  <si>
    <t>Dhergoloths with Nycaloth Officers and Arcanaloth Commander</t>
  </si>
  <si>
    <t>49th</t>
  </si>
  <si>
    <t>Dogais with Dogai Officers and Dogai Commander</t>
  </si>
  <si>
    <t>Dogai</t>
  </si>
  <si>
    <t>Magic Resistance
Damage Resistances Cold; Bludgeoning, Piercing, and Slashing from Nonmagical Attacks that aren't Silvered
Damage Immunities Fire, Poison
Condition Immunities Frightened, Poisoned
Shadow Step, Shadow Form, Avoidance, Sneak Attack</t>
  </si>
  <si>
    <t>Assassins</t>
  </si>
  <si>
    <t>Buerozas with Barbed Devils Officers and Bone Devil Commander</t>
  </si>
  <si>
    <t>Bueroza</t>
  </si>
  <si>
    <t>Magic Resistance
Damage Resistances Cold; Bludgeoning, Piercing, and Slashing from Nonmagical Attacks that aren't Silvered
Damage Immunities Fire, Poison
Condition Immunities Frightened, Exhaustion, Incapacitated, Paralyzed, Poisoned, Stunned, Unconscious</t>
  </si>
  <si>
    <t>Mezzoloths with Nycaloth Officers and Arcanaloth Commander</t>
  </si>
  <si>
    <t>Scouts</t>
  </si>
  <si>
    <t>Special Forces</t>
  </si>
  <si>
    <t>Heavy Calvary</t>
  </si>
  <si>
    <t>713th</t>
  </si>
  <si>
    <t>345th</t>
  </si>
  <si>
    <t>698th</t>
  </si>
  <si>
    <t>349th</t>
  </si>
  <si>
    <t>285th</t>
  </si>
  <si>
    <t>193th</t>
  </si>
  <si>
    <t>375th</t>
  </si>
  <si>
    <t>398th</t>
  </si>
  <si>
    <t>165th</t>
  </si>
  <si>
    <t>487th</t>
  </si>
  <si>
    <t>865th</t>
  </si>
  <si>
    <t>Princeps Kovik's</t>
  </si>
  <si>
    <t>Big Chief Demoneater's</t>
  </si>
  <si>
    <t>Defeated</t>
  </si>
  <si>
    <t>Enemies</t>
  </si>
  <si>
    <t>Crimson Tide</t>
  </si>
  <si>
    <t>Feonor's Crimson Tide  - Zombie Ogres with Zombie Hill Giant Officers and Archmage Commander</t>
  </si>
  <si>
    <t>HIll Giant</t>
  </si>
  <si>
    <t>Dhergoloth</t>
  </si>
  <si>
    <t>Trident Four</t>
  </si>
  <si>
    <t>Whirlwind Claw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</si>
</sst>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0"/>
      <name val="Arial"/>
    </font>
    <font>
      <b/>
      <sz val="10"/>
      <name val="Arial"/>
      <family val="2"/>
    </font>
    <font>
      <b/>
      <sz val="10"/>
      <color indexed="10"/>
      <name val="Arial"/>
      <family val="2"/>
    </font>
    <font>
      <sz val="8"/>
      <name val="Arial"/>
      <family val="2"/>
    </font>
    <font>
      <sz val="10"/>
      <name val="Arial"/>
      <family val="2"/>
    </font>
    <font>
      <b/>
      <sz val="10"/>
      <color rgb="FFFFFF00"/>
      <name val="Arial"/>
      <family val="2"/>
    </font>
    <font>
      <b/>
      <i/>
      <sz val="10"/>
      <name val="Arial"/>
      <family val="2"/>
    </font>
    <font>
      <b/>
      <sz val="10"/>
      <color rgb="FFFF2F2F"/>
      <name val="Arial"/>
      <family val="2"/>
    </font>
    <font>
      <b/>
      <sz val="10"/>
      <color rgb="FF00B050"/>
      <name val="Arial"/>
      <family val="2"/>
    </font>
    <font>
      <sz val="8"/>
      <name val="Arial"/>
      <family val="2"/>
    </font>
    <font>
      <u/>
      <sz val="10"/>
      <color theme="10"/>
      <name val="Arial"/>
      <family val="2"/>
    </font>
    <font>
      <u/>
      <sz val="10"/>
      <color theme="1"/>
      <name val="Arial"/>
      <family val="2"/>
    </font>
    <font>
      <b/>
      <u/>
      <sz val="10"/>
      <color theme="1"/>
      <name val="Arial"/>
      <family val="2"/>
    </font>
    <font>
      <b/>
      <sz val="11"/>
      <name val="Arial"/>
      <family val="2"/>
    </font>
    <font>
      <b/>
      <sz val="11"/>
      <color theme="1"/>
      <name val="Arial"/>
      <family val="2"/>
    </font>
    <font>
      <sz val="11"/>
      <name val="Arial"/>
      <family val="2"/>
    </font>
    <font>
      <sz val="6"/>
      <color theme="1"/>
      <name val="Arial"/>
      <family val="2"/>
    </font>
    <font>
      <sz val="6"/>
      <name val="Arial"/>
      <family val="2"/>
    </font>
    <font>
      <b/>
      <sz val="10"/>
      <color rgb="FFC00000"/>
      <name val="Arial"/>
      <family val="2"/>
    </font>
    <font>
      <b/>
      <sz val="8"/>
      <color theme="0" tint="-0.499984740745262"/>
      <name val="Arial"/>
      <family val="2"/>
    </font>
    <font>
      <sz val="8"/>
      <color theme="0" tint="-0.499984740745262"/>
      <name val="Arial"/>
      <family val="2"/>
    </font>
    <font>
      <sz val="11"/>
      <color rgb="FF92D050"/>
      <name val="Arial"/>
      <family val="2"/>
    </font>
    <font>
      <sz val="11"/>
      <color rgb="FFC00000"/>
      <name val="Arial"/>
      <family val="2"/>
    </font>
    <font>
      <b/>
      <sz val="10"/>
      <color theme="9" tint="-0.249977111117893"/>
      <name val="Arial"/>
      <family val="2"/>
    </font>
    <font>
      <b/>
      <sz val="11"/>
      <color theme="9" tint="-0.249977111117893"/>
      <name val="Arial"/>
      <family val="2"/>
    </font>
    <font>
      <b/>
      <sz val="10"/>
      <color theme="7" tint="0.39997558519241921"/>
      <name val="Arial"/>
      <family val="2"/>
    </font>
    <font>
      <b/>
      <sz val="10"/>
      <color theme="7" tint="0.39997558519241921"/>
      <name val="Arial"/>
    </font>
    <font>
      <b/>
      <sz val="10"/>
      <color rgb="FFC00000"/>
      <name val="Arial"/>
    </font>
    <font>
      <b/>
      <sz val="10"/>
      <color theme="4"/>
      <name val="Arial"/>
      <family val="2"/>
    </font>
    <font>
      <b/>
      <sz val="10"/>
      <color rgb="FF7030A0"/>
      <name val="Arial"/>
      <family val="2"/>
    </font>
    <font>
      <b/>
      <sz val="8"/>
      <color rgb="FF7030A0"/>
      <name val="Arial"/>
      <family val="2"/>
    </font>
  </fonts>
  <fills count="33">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4"/>
        <bgColor indexed="64"/>
      </patternFill>
    </fill>
    <fill>
      <patternFill patternType="solid">
        <fgColor indexed="13"/>
        <bgColor indexed="64"/>
      </patternFill>
    </fill>
    <fill>
      <patternFill patternType="solid">
        <fgColor indexed="51"/>
        <bgColor indexed="64"/>
      </patternFill>
    </fill>
    <fill>
      <patternFill patternType="solid">
        <fgColor indexed="40"/>
        <bgColor indexed="64"/>
      </patternFill>
    </fill>
    <fill>
      <patternFill patternType="solid">
        <fgColor indexed="14"/>
        <bgColor indexed="64"/>
      </patternFill>
    </fill>
    <fill>
      <patternFill patternType="solid">
        <fgColor indexed="52"/>
        <bgColor indexed="64"/>
      </patternFill>
    </fill>
    <fill>
      <patternFill patternType="solid">
        <fgColor indexed="49"/>
        <bgColor indexed="64"/>
      </patternFill>
    </fill>
    <fill>
      <patternFill patternType="solid">
        <fgColor indexed="11"/>
        <bgColor indexed="64"/>
      </patternFill>
    </fill>
    <fill>
      <patternFill patternType="solid">
        <fgColor indexed="50"/>
        <bgColor indexed="64"/>
      </patternFill>
    </fill>
    <fill>
      <patternFill patternType="solid">
        <fgColor indexed="53"/>
        <bgColor indexed="64"/>
      </patternFill>
    </fill>
    <fill>
      <patternFill patternType="solid">
        <fgColor indexed="57"/>
        <bgColor indexed="64"/>
      </patternFill>
    </fill>
    <fill>
      <patternFill patternType="solid">
        <fgColor indexed="19"/>
        <bgColor indexed="64"/>
      </patternFill>
    </fill>
    <fill>
      <patternFill patternType="solid">
        <fgColor indexed="61"/>
        <bgColor indexed="64"/>
      </patternFill>
    </fill>
    <fill>
      <patternFill patternType="solid">
        <fgColor indexed="55"/>
        <bgColor indexed="64"/>
      </patternFill>
    </fill>
    <fill>
      <patternFill patternType="solid">
        <fgColor rgb="FFC0000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249977111117893"/>
        <bgColor indexed="64"/>
      </patternFill>
    </fill>
  </fills>
  <borders count="6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auto="1"/>
      </top>
      <bottom style="thick">
        <color auto="1"/>
      </bottom>
      <diagonal/>
    </border>
    <border>
      <left/>
      <right/>
      <top style="medium">
        <color auto="1"/>
      </top>
      <bottom style="thick">
        <color auto="1"/>
      </bottom>
      <diagonal/>
    </border>
    <border>
      <left/>
      <right style="medium">
        <color auto="1"/>
      </right>
      <top style="medium">
        <color auto="1"/>
      </top>
      <bottom style="thick">
        <color auto="1"/>
      </bottom>
      <diagonal/>
    </border>
    <border>
      <left style="medium">
        <color theme="5" tint="-0.499984740745262"/>
      </left>
      <right/>
      <top style="medium">
        <color theme="5" tint="-0.499984740745262"/>
      </top>
      <bottom style="medium">
        <color auto="1"/>
      </bottom>
      <diagonal/>
    </border>
    <border>
      <left/>
      <right/>
      <top style="medium">
        <color theme="5" tint="-0.499984740745262"/>
      </top>
      <bottom style="medium">
        <color auto="1"/>
      </bottom>
      <diagonal/>
    </border>
    <border>
      <left/>
      <right style="medium">
        <color theme="5" tint="-0.499984740745262"/>
      </right>
      <top style="medium">
        <color theme="5" tint="-0.499984740745262"/>
      </top>
      <bottom style="medium">
        <color auto="1"/>
      </bottom>
      <diagonal/>
    </border>
    <border>
      <left style="medium">
        <color theme="5" tint="-0.499984740745262"/>
      </left>
      <right/>
      <top style="medium">
        <color auto="1"/>
      </top>
      <bottom/>
      <diagonal/>
    </border>
    <border>
      <left/>
      <right style="medium">
        <color theme="5" tint="-0.499984740745262"/>
      </right>
      <top style="medium">
        <color auto="1"/>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auto="1"/>
      </bottom>
      <diagonal/>
    </border>
    <border>
      <left/>
      <right style="medium">
        <color theme="5" tint="-0.499984740745262"/>
      </right>
      <top/>
      <bottom style="medium">
        <color auto="1"/>
      </bottom>
      <diagonal/>
    </border>
    <border>
      <left style="medium">
        <color theme="5" tint="-0.499984740745262"/>
      </left>
      <right/>
      <top style="medium">
        <color auto="1"/>
      </top>
      <bottom style="medium">
        <color auto="1"/>
      </bottom>
      <diagonal/>
    </border>
    <border>
      <left/>
      <right style="medium">
        <color theme="5" tint="-0.499984740745262"/>
      </right>
      <top style="medium">
        <color auto="1"/>
      </top>
      <bottom style="medium">
        <color auto="1"/>
      </bottom>
      <diagonal/>
    </border>
    <border>
      <left style="medium">
        <color theme="5" tint="-0.499984740745262"/>
      </left>
      <right/>
      <top style="medium">
        <color auto="1"/>
      </top>
      <bottom style="thick">
        <color auto="1"/>
      </bottom>
      <diagonal/>
    </border>
    <border>
      <left/>
      <right style="medium">
        <color theme="5" tint="-0.499984740745262"/>
      </right>
      <top style="medium">
        <color auto="1"/>
      </top>
      <bottom style="thick">
        <color auto="1"/>
      </bottom>
      <diagonal/>
    </border>
    <border>
      <left style="medium">
        <color theme="5" tint="-0.499984740745262"/>
      </left>
      <right/>
      <top style="thick">
        <color auto="1"/>
      </top>
      <bottom style="thick">
        <color auto="1"/>
      </bottom>
      <diagonal/>
    </border>
    <border>
      <left/>
      <right style="medium">
        <color theme="5" tint="-0.499984740745262"/>
      </right>
      <top style="thick">
        <color auto="1"/>
      </top>
      <bottom style="thick">
        <color auto="1"/>
      </bottom>
      <diagonal/>
    </border>
    <border>
      <left style="medium">
        <color theme="5" tint="-0.499984740745262"/>
      </left>
      <right/>
      <top style="thick">
        <color auto="1"/>
      </top>
      <bottom style="medium">
        <color theme="5" tint="-0.499984740745262"/>
      </bottom>
      <diagonal/>
    </border>
    <border>
      <left/>
      <right/>
      <top style="thick">
        <color auto="1"/>
      </top>
      <bottom style="medium">
        <color theme="5" tint="-0.499984740745262"/>
      </bottom>
      <diagonal/>
    </border>
    <border>
      <left/>
      <right style="medium">
        <color theme="5" tint="-0.499984740745262"/>
      </right>
      <top style="thick">
        <color auto="1"/>
      </top>
      <bottom style="medium">
        <color theme="5" tint="-0.499984740745262"/>
      </bottom>
      <diagonal/>
    </border>
    <border>
      <left style="medium">
        <color theme="5" tint="-0.499984740745262"/>
      </left>
      <right style="medium">
        <color theme="5" tint="-0.499984740745262"/>
      </right>
      <top style="medium">
        <color theme="5" tint="-0.499984740745262"/>
      </top>
      <bottom style="medium">
        <color auto="1"/>
      </bottom>
      <diagonal/>
    </border>
    <border>
      <left style="medium">
        <color theme="5" tint="-0.499984740745262"/>
      </left>
      <right style="medium">
        <color theme="5" tint="-0.499984740745262"/>
      </right>
      <top style="medium">
        <color auto="1"/>
      </top>
      <bottom/>
      <diagonal/>
    </border>
    <border>
      <left style="medium">
        <color theme="5" tint="-0.499984740745262"/>
      </left>
      <right style="medium">
        <color theme="5" tint="-0.499984740745262"/>
      </right>
      <top/>
      <bottom/>
      <diagonal/>
    </border>
    <border>
      <left style="medium">
        <color theme="5" tint="-0.499984740745262"/>
      </left>
      <right style="medium">
        <color theme="5" tint="-0.499984740745262"/>
      </right>
      <top/>
      <bottom style="medium">
        <color auto="1"/>
      </bottom>
      <diagonal/>
    </border>
    <border>
      <left style="medium">
        <color theme="5" tint="-0.499984740745262"/>
      </left>
      <right style="medium">
        <color theme="5" tint="-0.499984740745262"/>
      </right>
      <top style="medium">
        <color auto="1"/>
      </top>
      <bottom style="medium">
        <color auto="1"/>
      </bottom>
      <diagonal/>
    </border>
    <border>
      <left style="medium">
        <color theme="5" tint="-0.499984740745262"/>
      </left>
      <right style="medium">
        <color theme="5" tint="-0.499984740745262"/>
      </right>
      <top style="medium">
        <color auto="1"/>
      </top>
      <bottom style="thin">
        <color auto="1"/>
      </bottom>
      <diagonal/>
    </border>
    <border>
      <left style="medium">
        <color theme="5" tint="-0.499984740745262"/>
      </left>
      <right style="medium">
        <color theme="5" tint="-0.499984740745262"/>
      </right>
      <top style="thin">
        <color auto="1"/>
      </top>
      <bottom style="thin">
        <color auto="1"/>
      </bottom>
      <diagonal/>
    </border>
    <border>
      <left style="medium">
        <color theme="5" tint="-0.499984740745262"/>
      </left>
      <right style="medium">
        <color theme="5" tint="-0.499984740745262"/>
      </right>
      <top style="thin">
        <color auto="1"/>
      </top>
      <bottom style="thick">
        <color auto="1"/>
      </bottom>
      <diagonal/>
    </border>
    <border>
      <left style="medium">
        <color theme="5" tint="-0.499984740745262"/>
      </left>
      <right style="medium">
        <color theme="5" tint="-0.499984740745262"/>
      </right>
      <top style="thick">
        <color auto="1"/>
      </top>
      <bottom style="thick">
        <color auto="1"/>
      </bottom>
      <diagonal/>
    </border>
    <border>
      <left style="medium">
        <color theme="5" tint="-0.499984740745262"/>
      </left>
      <right style="medium">
        <color theme="5" tint="-0.499984740745262"/>
      </right>
      <top style="thick">
        <color auto="1"/>
      </top>
      <bottom style="medium">
        <color theme="5" tint="-0.499984740745262"/>
      </bottom>
      <diagonal/>
    </border>
    <border>
      <left style="thick">
        <color theme="5" tint="-0.499984740745262"/>
      </left>
      <right/>
      <top style="thick">
        <color theme="5" tint="-0.499984740745262"/>
      </top>
      <bottom style="medium">
        <color auto="1"/>
      </bottom>
      <diagonal/>
    </border>
    <border>
      <left/>
      <right style="thick">
        <color theme="5" tint="-0.499984740745262"/>
      </right>
      <top style="thick">
        <color theme="5" tint="-0.499984740745262"/>
      </top>
      <bottom style="medium">
        <color auto="1"/>
      </bottom>
      <diagonal/>
    </border>
    <border>
      <left style="thick">
        <color theme="5" tint="-0.499984740745262"/>
      </left>
      <right/>
      <top style="medium">
        <color auto="1"/>
      </top>
      <bottom/>
      <diagonal/>
    </border>
    <border>
      <left/>
      <right style="thick">
        <color theme="5" tint="-0.499984740745262"/>
      </right>
      <top style="medium">
        <color auto="1"/>
      </top>
      <bottom/>
      <diagonal/>
    </border>
    <border>
      <left style="thick">
        <color theme="5" tint="-0.499984740745262"/>
      </left>
      <right/>
      <top/>
      <bottom/>
      <diagonal/>
    </border>
    <border>
      <left/>
      <right style="thick">
        <color theme="5" tint="-0.499984740745262"/>
      </right>
      <top/>
      <bottom/>
      <diagonal/>
    </border>
    <border>
      <left style="thick">
        <color theme="5" tint="-0.499984740745262"/>
      </left>
      <right/>
      <top/>
      <bottom style="medium">
        <color auto="1"/>
      </bottom>
      <diagonal/>
    </border>
    <border>
      <left/>
      <right style="thick">
        <color theme="5" tint="-0.499984740745262"/>
      </right>
      <top/>
      <bottom style="medium">
        <color auto="1"/>
      </bottom>
      <diagonal/>
    </border>
    <border>
      <left style="thick">
        <color theme="5" tint="-0.499984740745262"/>
      </left>
      <right/>
      <top style="medium">
        <color auto="1"/>
      </top>
      <bottom style="medium">
        <color auto="1"/>
      </bottom>
      <diagonal/>
    </border>
    <border>
      <left/>
      <right style="thick">
        <color theme="5" tint="-0.499984740745262"/>
      </right>
      <top style="medium">
        <color auto="1"/>
      </top>
      <bottom style="medium">
        <color auto="1"/>
      </bottom>
      <diagonal/>
    </border>
    <border>
      <left style="thick">
        <color theme="5" tint="-0.499984740745262"/>
      </left>
      <right/>
      <top style="medium">
        <color auto="1"/>
      </top>
      <bottom style="thick">
        <color auto="1"/>
      </bottom>
      <diagonal/>
    </border>
    <border>
      <left/>
      <right style="thick">
        <color theme="5" tint="-0.499984740745262"/>
      </right>
      <top style="medium">
        <color auto="1"/>
      </top>
      <bottom style="thick">
        <color auto="1"/>
      </bottom>
      <diagonal/>
    </border>
    <border>
      <left style="thick">
        <color theme="5" tint="-0.499984740745262"/>
      </left>
      <right/>
      <top style="thick">
        <color auto="1"/>
      </top>
      <bottom style="thick">
        <color auto="1"/>
      </bottom>
      <diagonal/>
    </border>
    <border>
      <left/>
      <right style="thick">
        <color theme="5" tint="-0.499984740745262"/>
      </right>
      <top style="thick">
        <color auto="1"/>
      </top>
      <bottom style="thick">
        <color auto="1"/>
      </bottom>
      <diagonal/>
    </border>
    <border>
      <left style="thick">
        <color theme="5" tint="-0.499984740745262"/>
      </left>
      <right/>
      <top style="thick">
        <color auto="1"/>
      </top>
      <bottom style="thick">
        <color theme="5" tint="-0.499984740745262"/>
      </bottom>
      <diagonal/>
    </border>
    <border>
      <left/>
      <right style="thick">
        <color theme="5" tint="-0.499984740745262"/>
      </right>
      <top style="thick">
        <color auto="1"/>
      </top>
      <bottom style="thick">
        <color theme="5" tint="-0.499984740745262"/>
      </bottom>
      <diagonal/>
    </border>
    <border>
      <left/>
      <right/>
      <top style="thick">
        <color theme="5" tint="-0.499984740745262"/>
      </top>
      <bottom style="medium">
        <color auto="1"/>
      </bottom>
      <diagonal/>
    </border>
    <border>
      <left/>
      <right/>
      <top style="thick">
        <color auto="1"/>
      </top>
      <bottom style="thick">
        <color theme="5" tint="-0.499984740745262"/>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10" fillId="0" borderId="0" applyNumberFormat="0" applyFill="0" applyBorder="0" applyAlignment="0" applyProtection="0"/>
  </cellStyleXfs>
  <cellXfs count="283">
    <xf numFmtId="0" fontId="0" fillId="0" borderId="0" xfId="0"/>
    <xf numFmtId="0" fontId="0" fillId="0" borderId="0" xfId="0" applyAlignment="1">
      <alignment vertical="top"/>
    </xf>
    <xf numFmtId="0" fontId="2" fillId="0" borderId="0" xfId="0" applyFont="1" applyAlignment="1">
      <alignment horizontal="center" vertical="top"/>
    </xf>
    <xf numFmtId="0" fontId="0" fillId="2" borderId="0" xfId="0" applyFill="1" applyAlignment="1">
      <alignment vertical="top"/>
    </xf>
    <xf numFmtId="0" fontId="0" fillId="3" borderId="0" xfId="0" applyFill="1" applyAlignment="1">
      <alignment horizontal="center" vertical="top"/>
    </xf>
    <xf numFmtId="0" fontId="0" fillId="0" borderId="0" xfId="0" applyAlignment="1">
      <alignment horizontal="center" vertical="top"/>
    </xf>
    <xf numFmtId="0" fontId="0" fillId="0" borderId="0" xfId="0" applyAlignment="1">
      <alignment horizontal="right" vertical="top"/>
    </xf>
    <xf numFmtId="0" fontId="0" fillId="4" borderId="0" xfId="0"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0" fontId="0" fillId="4" borderId="0" xfId="0" applyFill="1" applyAlignment="1">
      <alignment vertical="top"/>
    </xf>
    <xf numFmtId="164" fontId="0" fillId="4" borderId="0" xfId="0" applyNumberForma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0" fontId="0" fillId="7" borderId="0" xfId="0" applyFill="1" applyAlignment="1">
      <alignment vertical="top"/>
    </xf>
    <xf numFmtId="0" fontId="0" fillId="7"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0" fontId="0" fillId="9" borderId="0" xfId="0" applyFill="1" applyAlignment="1">
      <alignment vertical="top"/>
    </xf>
    <xf numFmtId="0" fontId="0" fillId="9" borderId="0" xfId="0" applyFill="1" applyAlignment="1">
      <alignment horizontal="center" vertical="top"/>
    </xf>
    <xf numFmtId="0" fontId="0" fillId="10" borderId="0" xfId="0" applyFill="1" applyAlignment="1">
      <alignment vertical="top"/>
    </xf>
    <xf numFmtId="0" fontId="0" fillId="10" borderId="0" xfId="0" applyFill="1" applyAlignment="1">
      <alignment horizontal="center" vertical="top"/>
    </xf>
    <xf numFmtId="0" fontId="0" fillId="11" borderId="0" xfId="0" applyFill="1" applyAlignment="1">
      <alignment vertical="top"/>
    </xf>
    <xf numFmtId="0" fontId="0" fillId="11" borderId="0" xfId="0" applyFill="1" applyAlignment="1">
      <alignment horizontal="center" vertical="top"/>
    </xf>
    <xf numFmtId="0" fontId="0" fillId="12" borderId="0" xfId="0" applyFill="1" applyAlignment="1">
      <alignment horizontal="center" vertical="top"/>
    </xf>
    <xf numFmtId="0" fontId="0" fillId="13" borderId="0" xfId="0" applyFill="1" applyAlignment="1">
      <alignment vertical="top"/>
    </xf>
    <xf numFmtId="0" fontId="0" fillId="13" borderId="0" xfId="0" applyFill="1" applyAlignment="1">
      <alignment horizontal="center" vertical="top"/>
    </xf>
    <xf numFmtId="0" fontId="0" fillId="14" borderId="0" xfId="0" applyFill="1" applyAlignment="1">
      <alignment vertical="top"/>
    </xf>
    <xf numFmtId="0" fontId="0" fillId="14" borderId="0" xfId="0" applyFill="1" applyAlignment="1">
      <alignment horizontal="center" vertical="top"/>
    </xf>
    <xf numFmtId="0" fontId="0" fillId="15" borderId="0" xfId="0" applyFill="1" applyAlignment="1">
      <alignment vertical="top"/>
    </xf>
    <xf numFmtId="0" fontId="0" fillId="15" borderId="0" xfId="0" applyFill="1" applyAlignment="1">
      <alignment horizontal="center" vertical="top"/>
    </xf>
    <xf numFmtId="0" fontId="0" fillId="16" borderId="0" xfId="0" applyFill="1" applyAlignment="1">
      <alignment vertical="top"/>
    </xf>
    <xf numFmtId="0" fontId="0" fillId="16" borderId="0" xfId="0" applyFill="1" applyAlignment="1">
      <alignment horizontal="center" vertical="top"/>
    </xf>
    <xf numFmtId="0" fontId="0" fillId="17" borderId="0" xfId="0" applyFill="1" applyAlignment="1">
      <alignment vertical="top"/>
    </xf>
    <xf numFmtId="0" fontId="0" fillId="17" borderId="0" xfId="0" applyFill="1" applyAlignment="1">
      <alignment horizontal="center" vertical="top"/>
    </xf>
    <xf numFmtId="0" fontId="0" fillId="18" borderId="0" xfId="0" applyFill="1" applyAlignment="1">
      <alignment vertical="top"/>
    </xf>
    <xf numFmtId="0" fontId="0" fillId="18" borderId="0" xfId="0" applyFill="1" applyAlignment="1">
      <alignment horizontal="center" vertical="top"/>
    </xf>
    <xf numFmtId="164" fontId="0" fillId="3" borderId="0" xfId="0" applyNumberFormat="1" applyFill="1" applyAlignment="1">
      <alignment horizontal="center" vertical="top"/>
    </xf>
    <xf numFmtId="0" fontId="0" fillId="3" borderId="0" xfId="0" applyFill="1" applyAlignment="1">
      <alignment horizontal="center" vertical="top" wrapText="1"/>
    </xf>
    <xf numFmtId="0" fontId="0" fillId="0" borderId="0" xfId="0" applyAlignment="1">
      <alignment vertical="top" wrapText="1"/>
    </xf>
    <xf numFmtId="0" fontId="0" fillId="3" borderId="0" xfId="0" applyFill="1" applyAlignment="1">
      <alignment vertical="top"/>
    </xf>
    <xf numFmtId="0" fontId="0" fillId="2" borderId="0" xfId="0" applyFill="1" applyAlignment="1">
      <alignment horizontal="right" vertical="top"/>
    </xf>
    <xf numFmtId="0" fontId="0" fillId="2" borderId="0" xfId="0" applyFill="1" applyAlignment="1">
      <alignment horizontal="center" vertical="top"/>
    </xf>
    <xf numFmtId="0" fontId="0" fillId="0" borderId="0" xfId="0" applyFill="1" applyAlignment="1">
      <alignment horizontal="right" vertical="top"/>
    </xf>
    <xf numFmtId="0" fontId="0" fillId="0" borderId="0" xfId="0" applyFill="1" applyAlignment="1">
      <alignment horizontal="center" vertical="top"/>
    </xf>
    <xf numFmtId="0" fontId="0" fillId="19" borderId="0" xfId="0" applyFill="1" applyAlignment="1">
      <alignment vertical="top"/>
    </xf>
    <xf numFmtId="0" fontId="0" fillId="19" borderId="0" xfId="0" applyFill="1" applyAlignment="1">
      <alignment horizontal="center" vertical="top"/>
    </xf>
    <xf numFmtId="164" fontId="0" fillId="0" borderId="0" xfId="0" applyNumberFormat="1" applyAlignment="1">
      <alignment horizontal="center" vertical="top"/>
    </xf>
    <xf numFmtId="0" fontId="0" fillId="20" borderId="0" xfId="0" applyFill="1" applyAlignment="1">
      <alignment vertical="top"/>
    </xf>
    <xf numFmtId="0" fontId="0" fillId="20" borderId="0" xfId="0" applyFill="1" applyAlignment="1">
      <alignment horizontal="center" vertical="top"/>
    </xf>
    <xf numFmtId="0" fontId="0" fillId="21" borderId="0" xfId="0" applyFill="1" applyAlignment="1">
      <alignment vertical="top"/>
    </xf>
    <xf numFmtId="0" fontId="0" fillId="21" borderId="0" xfId="0" applyFill="1" applyAlignment="1">
      <alignment horizontal="center" vertical="top"/>
    </xf>
    <xf numFmtId="0" fontId="0" fillId="0" borderId="0" xfId="0" applyAlignment="1">
      <alignment horizontal="right" vertical="top" wrapText="1"/>
    </xf>
    <xf numFmtId="0" fontId="0" fillId="0" borderId="0" xfId="0" applyAlignment="1">
      <alignment horizontal="center" vertical="top" wrapText="1"/>
    </xf>
    <xf numFmtId="0" fontId="0" fillId="22" borderId="0" xfId="0" applyFill="1" applyAlignment="1">
      <alignment vertical="top"/>
    </xf>
    <xf numFmtId="0" fontId="0" fillId="0" borderId="0" xfId="0" applyFill="1" applyAlignment="1">
      <alignment vertical="top"/>
    </xf>
    <xf numFmtId="0" fontId="4" fillId="0" borderId="0" xfId="0" applyFont="1" applyAlignment="1">
      <alignment horizontal="right" vertical="top"/>
    </xf>
    <xf numFmtId="0" fontId="0" fillId="0" borderId="0" xfId="0" applyAlignment="1">
      <alignment vertical="center"/>
    </xf>
    <xf numFmtId="0" fontId="0" fillId="0" borderId="0" xfId="0" applyAlignment="1">
      <alignment horizontal="center"/>
    </xf>
    <xf numFmtId="0" fontId="4" fillId="25" borderId="0" xfId="0" applyFont="1" applyFill="1" applyAlignment="1">
      <alignment horizontal="right"/>
    </xf>
    <xf numFmtId="0" fontId="1" fillId="25" borderId="0" xfId="0" applyFont="1" applyFill="1" applyAlignment="1">
      <alignment horizontal="center"/>
    </xf>
    <xf numFmtId="0" fontId="0" fillId="25" borderId="0" xfId="0" applyFill="1" applyAlignment="1">
      <alignment horizontal="center"/>
    </xf>
    <xf numFmtId="9" fontId="0" fillId="25" borderId="0" xfId="0" applyNumberFormat="1" applyFill="1" applyAlignment="1">
      <alignment horizontal="center"/>
    </xf>
    <xf numFmtId="0" fontId="5" fillId="26" borderId="0" xfId="0" applyFont="1" applyFill="1" applyAlignment="1">
      <alignment horizontal="right"/>
    </xf>
    <xf numFmtId="0" fontId="5" fillId="26" borderId="0" xfId="0" applyFont="1" applyFill="1" applyAlignment="1">
      <alignment horizontal="center"/>
    </xf>
    <xf numFmtId="0" fontId="4" fillId="0" borderId="1" xfId="0" applyFont="1" applyBorder="1" applyAlignment="1">
      <alignment horizontal="righ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4" fillId="0" borderId="4" xfId="0" applyFont="1" applyBorder="1" applyAlignment="1">
      <alignment horizontal="right"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9" fontId="1" fillId="0" borderId="0" xfId="0" applyNumberFormat="1" applyFont="1" applyBorder="1" applyAlignment="1">
      <alignment horizontal="center" vertical="center"/>
    </xf>
    <xf numFmtId="9" fontId="1" fillId="0" borderId="5" xfId="0" applyNumberFormat="1" applyFont="1" applyBorder="1" applyAlignment="1">
      <alignment horizontal="center" vertical="center"/>
    </xf>
    <xf numFmtId="0" fontId="4" fillId="0" borderId="6" xfId="0" applyFont="1" applyBorder="1" applyAlignment="1">
      <alignment horizontal="right" vertical="center"/>
    </xf>
    <xf numFmtId="9" fontId="1" fillId="0" borderId="7" xfId="0" applyNumberFormat="1" applyFont="1" applyBorder="1" applyAlignment="1">
      <alignment horizontal="center" vertical="center"/>
    </xf>
    <xf numFmtId="9" fontId="1" fillId="0" borderId="8" xfId="0" applyNumberFormat="1" applyFont="1" applyBorder="1" applyAlignment="1">
      <alignment horizontal="center" vertical="center"/>
    </xf>
    <xf numFmtId="0" fontId="4" fillId="0" borderId="9" xfId="0" applyFont="1" applyBorder="1" applyAlignment="1">
      <alignment horizontal="righ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7" fillId="26" borderId="0" xfId="0" applyFont="1" applyFill="1" applyAlignment="1">
      <alignment horizontal="right"/>
    </xf>
    <xf numFmtId="0" fontId="7" fillId="26" borderId="0" xfId="0" applyFont="1" applyFill="1" applyAlignment="1">
      <alignment horizontal="center"/>
    </xf>
    <xf numFmtId="0" fontId="4" fillId="25" borderId="0" xfId="0" applyFont="1" applyFill="1" applyAlignment="1">
      <alignment horizontal="right" vertical="center"/>
    </xf>
    <xf numFmtId="0" fontId="1" fillId="25" borderId="0" xfId="0" applyFont="1" applyFill="1" applyAlignment="1">
      <alignment horizontal="center" vertical="center"/>
    </xf>
    <xf numFmtId="0" fontId="5" fillId="24" borderId="0" xfId="0" applyFont="1" applyFill="1" applyAlignment="1">
      <alignment horizontal="center" vertical="center" wrapText="1"/>
    </xf>
    <xf numFmtId="0" fontId="5" fillId="23" borderId="0" xfId="0" applyFont="1" applyFill="1" applyAlignment="1">
      <alignment horizontal="center" vertical="center" wrapText="1"/>
    </xf>
    <xf numFmtId="9" fontId="1" fillId="0" borderId="2" xfId="0" applyNumberFormat="1" applyFont="1" applyBorder="1" applyAlignment="1">
      <alignment horizontal="center" vertical="center"/>
    </xf>
    <xf numFmtId="9" fontId="1" fillId="0" borderId="3" xfId="0" applyNumberFormat="1" applyFont="1" applyBorder="1" applyAlignment="1">
      <alignment horizontal="center" vertical="center"/>
    </xf>
    <xf numFmtId="1" fontId="1" fillId="0" borderId="7" xfId="0" applyNumberFormat="1" applyFont="1" applyBorder="1" applyAlignment="1">
      <alignment horizontal="center" vertical="center"/>
    </xf>
    <xf numFmtId="1" fontId="1" fillId="0" borderId="8" xfId="0" applyNumberFormat="1" applyFont="1" applyBorder="1" applyAlignment="1">
      <alignment horizontal="center" vertical="center"/>
    </xf>
    <xf numFmtId="0" fontId="8" fillId="25" borderId="0" xfId="0" applyFont="1" applyFill="1" applyAlignment="1">
      <alignment horizontal="center" vertical="center"/>
    </xf>
    <xf numFmtId="0" fontId="4" fillId="25" borderId="0" xfId="0" applyFont="1" applyFill="1" applyAlignment="1">
      <alignment horizontal="center"/>
    </xf>
    <xf numFmtId="0" fontId="1" fillId="0" borderId="0" xfId="0" applyFont="1"/>
    <xf numFmtId="9" fontId="0" fillId="0" borderId="0" xfId="0" applyNumberFormat="1"/>
    <xf numFmtId="1" fontId="1" fillId="0" borderId="0" xfId="0" applyNumberFormat="1" applyFont="1" applyBorder="1" applyAlignment="1">
      <alignment horizontal="center" vertical="center"/>
    </xf>
    <xf numFmtId="1" fontId="1" fillId="0" borderId="5" xfId="0" applyNumberFormat="1" applyFont="1" applyBorder="1" applyAlignment="1">
      <alignment horizontal="center" vertical="center"/>
    </xf>
    <xf numFmtId="9" fontId="11" fillId="0" borderId="2" xfId="1" applyNumberFormat="1" applyFont="1" applyBorder="1" applyAlignment="1">
      <alignment horizontal="center" vertical="center"/>
    </xf>
    <xf numFmtId="9" fontId="11" fillId="0" borderId="0" xfId="1" applyNumberFormat="1" applyFont="1" applyBorder="1" applyAlignment="1">
      <alignment horizontal="center" vertical="center"/>
    </xf>
    <xf numFmtId="1" fontId="11" fillId="0" borderId="0" xfId="1" applyNumberFormat="1" applyFont="1" applyBorder="1" applyAlignment="1">
      <alignment horizontal="center" vertical="center"/>
    </xf>
    <xf numFmtId="9" fontId="1" fillId="0" borderId="0" xfId="1" applyNumberFormat="1" applyFont="1" applyBorder="1" applyAlignment="1">
      <alignment horizontal="center" vertical="center"/>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1" fontId="14" fillId="0" borderId="0" xfId="1" applyNumberFormat="1" applyFont="1" applyBorder="1" applyAlignment="1">
      <alignment horizontal="center" vertical="center"/>
    </xf>
    <xf numFmtId="1" fontId="14" fillId="0" borderId="7" xfId="1" applyNumberFormat="1" applyFont="1" applyBorder="1" applyAlignment="1">
      <alignment horizontal="center" vertical="center"/>
    </xf>
    <xf numFmtId="1" fontId="13" fillId="0" borderId="0" xfId="0" applyNumberFormat="1" applyFont="1" applyBorder="1" applyAlignment="1">
      <alignment horizontal="center" vertical="center"/>
    </xf>
    <xf numFmtId="9" fontId="1" fillId="0" borderId="12" xfId="1" applyNumberFormat="1" applyFont="1" applyBorder="1" applyAlignment="1">
      <alignment horizontal="center" vertical="center"/>
    </xf>
    <xf numFmtId="1" fontId="14" fillId="0" borderId="12" xfId="1" applyNumberFormat="1" applyFont="1" applyBorder="1" applyAlignment="1">
      <alignment horizontal="center" vertical="center" wrapText="1"/>
    </xf>
    <xf numFmtId="9" fontId="1" fillId="28" borderId="10" xfId="1" applyNumberFormat="1" applyFont="1" applyFill="1" applyBorder="1" applyAlignment="1">
      <alignment horizontal="center" vertical="center"/>
    </xf>
    <xf numFmtId="1" fontId="11" fillId="28" borderId="10" xfId="1" applyNumberFormat="1" applyFont="1" applyFill="1" applyBorder="1" applyAlignment="1">
      <alignment horizontal="center" vertical="center"/>
    </xf>
    <xf numFmtId="9" fontId="1" fillId="28" borderId="10" xfId="0" applyNumberFormat="1" applyFont="1" applyFill="1" applyBorder="1" applyAlignment="1">
      <alignment horizontal="center" vertical="center"/>
    </xf>
    <xf numFmtId="1" fontId="1" fillId="28" borderId="10" xfId="0" applyNumberFormat="1" applyFont="1" applyFill="1" applyBorder="1" applyAlignment="1">
      <alignment horizontal="center" vertical="center"/>
    </xf>
    <xf numFmtId="1" fontId="14" fillId="0" borderId="0" xfId="1" applyNumberFormat="1" applyFont="1" applyBorder="1" applyAlignment="1">
      <alignment horizontal="center" vertical="center" wrapText="1"/>
    </xf>
    <xf numFmtId="9" fontId="1" fillId="28" borderId="2" xfId="1" applyNumberFormat="1" applyFont="1" applyFill="1" applyBorder="1" applyAlignment="1">
      <alignment horizontal="center" vertical="center"/>
    </xf>
    <xf numFmtId="1" fontId="11" fillId="28" borderId="2" xfId="1" applyNumberFormat="1" applyFont="1" applyFill="1" applyBorder="1" applyAlignment="1">
      <alignment horizontal="center" vertical="center"/>
    </xf>
    <xf numFmtId="9" fontId="14" fillId="0" borderId="2" xfId="1" applyNumberFormat="1" applyFont="1" applyBorder="1" applyAlignment="1">
      <alignment horizontal="center" vertical="center"/>
    </xf>
    <xf numFmtId="9" fontId="14" fillId="0" borderId="0" xfId="1" applyNumberFormat="1" applyFont="1" applyBorder="1" applyAlignment="1">
      <alignment horizontal="center" vertical="center"/>
    </xf>
    <xf numFmtId="9" fontId="14" fillId="0" borderId="7" xfId="1" applyNumberFormat="1" applyFont="1" applyBorder="1" applyAlignment="1">
      <alignment horizontal="center" vertical="center"/>
    </xf>
    <xf numFmtId="9" fontId="17" fillId="0" borderId="13" xfId="1" applyNumberFormat="1" applyFont="1" applyBorder="1" applyAlignment="1">
      <alignment horizontal="center" vertical="center" wrapText="1"/>
    </xf>
    <xf numFmtId="1" fontId="16" fillId="0" borderId="13" xfId="1" applyNumberFormat="1" applyFont="1" applyBorder="1" applyAlignment="1">
      <alignment horizontal="center" vertical="center" wrapText="1"/>
    </xf>
    <xf numFmtId="9" fontId="17" fillId="0" borderId="13" xfId="1" applyNumberFormat="1" applyFont="1" applyBorder="1" applyAlignment="1">
      <alignment horizontal="center" vertical="center"/>
    </xf>
    <xf numFmtId="9" fontId="17" fillId="0" borderId="13" xfId="0" applyNumberFormat="1" applyFont="1" applyBorder="1" applyAlignment="1">
      <alignment horizontal="center" vertical="center"/>
    </xf>
    <xf numFmtId="1" fontId="17" fillId="0" borderId="13" xfId="0" applyNumberFormat="1" applyFont="1" applyBorder="1" applyAlignment="1">
      <alignment horizontal="center" vertical="center"/>
    </xf>
    <xf numFmtId="1" fontId="17" fillId="0" borderId="14" xfId="0" applyNumberFormat="1" applyFont="1" applyBorder="1" applyAlignment="1">
      <alignment horizontal="center" vertical="center"/>
    </xf>
    <xf numFmtId="0" fontId="15" fillId="0" borderId="15"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9" fontId="1" fillId="0" borderId="20" xfId="0" applyNumberFormat="1" applyFont="1" applyBorder="1" applyAlignment="1">
      <alignment horizontal="center" vertical="center"/>
    </xf>
    <xf numFmtId="9" fontId="1" fillId="0" borderId="2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9"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9" fontId="11" fillId="0" borderId="18" xfId="1" applyNumberFormat="1" applyFont="1" applyBorder="1" applyAlignment="1">
      <alignment horizontal="center" vertical="center"/>
    </xf>
    <xf numFmtId="9" fontId="11" fillId="0" borderId="19" xfId="1" applyNumberFormat="1" applyFont="1" applyBorder="1" applyAlignment="1">
      <alignment horizontal="center" vertical="center"/>
    </xf>
    <xf numFmtId="9" fontId="11" fillId="0" borderId="20" xfId="1" applyNumberFormat="1" applyFont="1" applyBorder="1" applyAlignment="1">
      <alignment horizontal="center" vertical="center"/>
    </xf>
    <xf numFmtId="9" fontId="11" fillId="0" borderId="21" xfId="1" applyNumberFormat="1" applyFont="1" applyBorder="1" applyAlignment="1">
      <alignment horizontal="center" vertical="center"/>
    </xf>
    <xf numFmtId="1" fontId="11" fillId="0" borderId="20" xfId="1" applyNumberFormat="1" applyFont="1" applyBorder="1" applyAlignment="1">
      <alignment horizontal="center" vertical="center"/>
    </xf>
    <xf numFmtId="1" fontId="11" fillId="0" borderId="21" xfId="1" applyNumberFormat="1" applyFont="1" applyBorder="1" applyAlignment="1">
      <alignment horizontal="center" vertical="center"/>
    </xf>
    <xf numFmtId="1" fontId="16" fillId="0" borderId="26" xfId="1" applyNumberFormat="1" applyFont="1" applyBorder="1" applyAlignment="1">
      <alignment horizontal="center" vertical="center"/>
    </xf>
    <xf numFmtId="1" fontId="16" fillId="0" borderId="27" xfId="1" applyNumberFormat="1" applyFont="1" applyBorder="1" applyAlignment="1">
      <alignment horizontal="center" vertical="center" wrapText="1"/>
    </xf>
    <xf numFmtId="1" fontId="14" fillId="0" borderId="20" xfId="1" applyNumberFormat="1" applyFont="1" applyBorder="1" applyAlignment="1">
      <alignment horizontal="center" vertical="center"/>
    </xf>
    <xf numFmtId="1" fontId="14" fillId="0" borderId="21" xfId="1" applyNumberFormat="1" applyFont="1" applyBorder="1" applyAlignment="1">
      <alignment horizontal="center" vertical="center" wrapText="1"/>
    </xf>
    <xf numFmtId="1" fontId="12" fillId="28" borderId="24" xfId="1" applyNumberFormat="1" applyFont="1" applyFill="1" applyBorder="1" applyAlignment="1">
      <alignment horizontal="center" vertical="center"/>
    </xf>
    <xf numFmtId="1" fontId="11" fillId="28" borderId="25" xfId="1" applyNumberFormat="1" applyFont="1" applyFill="1" applyBorder="1" applyAlignment="1">
      <alignment horizontal="center" vertical="center"/>
    </xf>
    <xf numFmtId="1" fontId="14" fillId="0" borderId="21" xfId="1" applyNumberFormat="1" applyFont="1" applyBorder="1" applyAlignment="1">
      <alignment horizontal="center" vertical="center"/>
    </xf>
    <xf numFmtId="1" fontId="12" fillId="28" borderId="18" xfId="1" applyNumberFormat="1" applyFont="1" applyFill="1" applyBorder="1" applyAlignment="1">
      <alignment horizontal="center" vertical="center"/>
    </xf>
    <xf numFmtId="1" fontId="11" fillId="28" borderId="19" xfId="1" applyNumberFormat="1" applyFont="1" applyFill="1" applyBorder="1" applyAlignment="1">
      <alignment horizontal="center" vertical="center"/>
    </xf>
    <xf numFmtId="9" fontId="14" fillId="0" borderId="18" xfId="1" applyNumberFormat="1" applyFont="1" applyBorder="1" applyAlignment="1">
      <alignment horizontal="center" vertical="center"/>
    </xf>
    <xf numFmtId="9" fontId="14" fillId="0" borderId="19" xfId="1" applyNumberFormat="1" applyFont="1" applyBorder="1" applyAlignment="1">
      <alignment horizontal="center" vertical="center"/>
    </xf>
    <xf numFmtId="9" fontId="14" fillId="0" borderId="20" xfId="1" applyNumberFormat="1" applyFont="1" applyBorder="1" applyAlignment="1">
      <alignment horizontal="center" vertical="center"/>
    </xf>
    <xf numFmtId="9" fontId="14" fillId="0" borderId="21" xfId="1" applyNumberFormat="1" applyFont="1" applyBorder="1" applyAlignment="1">
      <alignment horizontal="center" vertical="center"/>
    </xf>
    <xf numFmtId="9" fontId="14" fillId="0" borderId="22" xfId="1" applyNumberFormat="1" applyFont="1" applyBorder="1" applyAlignment="1">
      <alignment horizontal="center" vertical="center"/>
    </xf>
    <xf numFmtId="9" fontId="14" fillId="0" borderId="23" xfId="1" applyNumberFormat="1" applyFont="1" applyBorder="1" applyAlignment="1">
      <alignment horizontal="center" vertical="center"/>
    </xf>
    <xf numFmtId="1" fontId="14" fillId="0" borderId="22" xfId="1" applyNumberFormat="1" applyFont="1" applyBorder="1" applyAlignment="1">
      <alignment horizontal="center" vertical="center"/>
    </xf>
    <xf numFmtId="1" fontId="14" fillId="0" borderId="23" xfId="1" applyNumberFormat="1" applyFont="1" applyBorder="1" applyAlignment="1">
      <alignment horizontal="center" vertical="center"/>
    </xf>
    <xf numFmtId="1" fontId="14" fillId="0" borderId="28" xfId="1" applyNumberFormat="1" applyFont="1" applyBorder="1" applyAlignment="1">
      <alignment horizontal="center" vertical="center"/>
    </xf>
    <xf numFmtId="1" fontId="14" fillId="0" borderId="29" xfId="1" applyNumberFormat="1" applyFont="1" applyBorder="1" applyAlignment="1">
      <alignment horizontal="center" vertical="center" wrapText="1"/>
    </xf>
    <xf numFmtId="9" fontId="1" fillId="0" borderId="30" xfId="1" applyNumberFormat="1" applyFont="1" applyBorder="1" applyAlignment="1">
      <alignment horizontal="center" vertical="center"/>
    </xf>
    <xf numFmtId="9" fontId="1" fillId="0" borderId="31" xfId="1" applyNumberFormat="1" applyFont="1" applyBorder="1" applyAlignment="1">
      <alignment horizontal="center" vertical="center"/>
    </xf>
    <xf numFmtId="9" fontId="1" fillId="0" borderId="32" xfId="1" applyNumberFormat="1" applyFont="1" applyBorder="1" applyAlignment="1">
      <alignment horizontal="center" vertical="center"/>
    </xf>
    <xf numFmtId="9" fontId="1" fillId="0" borderId="22" xfId="0" applyNumberFormat="1" applyFont="1" applyBorder="1" applyAlignment="1">
      <alignment horizontal="center" vertical="center"/>
    </xf>
    <xf numFmtId="9" fontId="17" fillId="0" borderId="26" xfId="1" applyNumberFormat="1" applyFont="1" applyBorder="1" applyAlignment="1">
      <alignment horizontal="center" vertical="center" wrapText="1"/>
    </xf>
    <xf numFmtId="1" fontId="14" fillId="0" borderId="20" xfId="1" applyNumberFormat="1" applyFont="1" applyBorder="1" applyAlignment="1">
      <alignment horizontal="center" vertical="center" wrapText="1"/>
    </xf>
    <xf numFmtId="1" fontId="11" fillId="28" borderId="24" xfId="1" applyNumberFormat="1" applyFont="1" applyFill="1" applyBorder="1" applyAlignment="1">
      <alignment horizontal="center" vertical="center"/>
    </xf>
    <xf numFmtId="1" fontId="11" fillId="28" borderId="18" xfId="1" applyNumberFormat="1" applyFont="1" applyFill="1" applyBorder="1" applyAlignment="1">
      <alignment horizontal="center" vertical="center"/>
    </xf>
    <xf numFmtId="1" fontId="14" fillId="0" borderId="28" xfId="1" applyNumberFormat="1" applyFont="1" applyBorder="1" applyAlignment="1">
      <alignment horizontal="center" vertical="center" wrapText="1"/>
    </xf>
    <xf numFmtId="0" fontId="15" fillId="0" borderId="33" xfId="0" applyFont="1" applyBorder="1" applyAlignment="1">
      <alignment horizontal="right" vertical="center"/>
    </xf>
    <xf numFmtId="0" fontId="4" fillId="0" borderId="34" xfId="0" applyFont="1" applyBorder="1" applyAlignment="1">
      <alignment horizontal="right" vertical="center"/>
    </xf>
    <xf numFmtId="0" fontId="4" fillId="0" borderId="35" xfId="0" applyFont="1" applyBorder="1" applyAlignment="1">
      <alignment horizontal="right" vertical="center"/>
    </xf>
    <xf numFmtId="0" fontId="4" fillId="0" borderId="36" xfId="0" applyFont="1" applyBorder="1" applyAlignment="1">
      <alignment horizontal="right" vertical="center"/>
    </xf>
    <xf numFmtId="0" fontId="4" fillId="0" borderId="37" xfId="0" applyFont="1" applyBorder="1" applyAlignment="1">
      <alignment horizontal="right" vertical="center"/>
    </xf>
    <xf numFmtId="0" fontId="4" fillId="28" borderId="37" xfId="0" applyFont="1" applyFill="1" applyBorder="1" applyAlignment="1">
      <alignment horizontal="right" vertical="center"/>
    </xf>
    <xf numFmtId="0" fontId="13" fillId="0" borderId="35" xfId="0" applyFont="1" applyBorder="1" applyAlignment="1">
      <alignment horizontal="right" vertical="center"/>
    </xf>
    <xf numFmtId="0" fontId="4" fillId="28" borderId="34" xfId="0" applyFont="1" applyFill="1" applyBorder="1" applyAlignment="1">
      <alignment horizontal="right" vertical="center"/>
    </xf>
    <xf numFmtId="0" fontId="4" fillId="0" borderId="38" xfId="0" applyFont="1" applyBorder="1" applyAlignment="1">
      <alignment horizontal="right" vertical="center"/>
    </xf>
    <xf numFmtId="0" fontId="4" fillId="0" borderId="39" xfId="0" applyFont="1" applyBorder="1" applyAlignment="1">
      <alignment horizontal="right" vertical="center"/>
    </xf>
    <xf numFmtId="0" fontId="4" fillId="0" borderId="40" xfId="0" applyFont="1" applyBorder="1" applyAlignment="1">
      <alignment horizontal="right" vertical="center"/>
    </xf>
    <xf numFmtId="0" fontId="13" fillId="0" borderId="36" xfId="0" applyFont="1" applyBorder="1" applyAlignment="1">
      <alignment horizontal="right" vertical="center"/>
    </xf>
    <xf numFmtId="0" fontId="4" fillId="0" borderId="41" xfId="0" applyFont="1" applyBorder="1" applyAlignment="1">
      <alignment horizontal="right" vertical="center"/>
    </xf>
    <xf numFmtId="0" fontId="4" fillId="0" borderId="42" xfId="0" applyFont="1" applyBorder="1" applyAlignment="1">
      <alignment horizontal="right" vertical="center"/>
    </xf>
    <xf numFmtId="0" fontId="15" fillId="0" borderId="43" xfId="0" applyFont="1" applyBorder="1" applyAlignment="1">
      <alignment horizontal="center" vertical="center" wrapText="1"/>
    </xf>
    <xf numFmtId="0" fontId="15" fillId="0" borderId="44" xfId="0" applyFont="1" applyBorder="1" applyAlignment="1">
      <alignment horizontal="center" vertical="center" wrapText="1"/>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9" fontId="1" fillId="0" borderId="47" xfId="0" applyNumberFormat="1" applyFont="1" applyBorder="1" applyAlignment="1">
      <alignment horizontal="center" vertical="center"/>
    </xf>
    <xf numFmtId="9" fontId="1" fillId="0" borderId="48" xfId="0" applyNumberFormat="1" applyFont="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9" fontId="1" fillId="0" borderId="49" xfId="0" applyNumberFormat="1" applyFont="1" applyBorder="1" applyAlignment="1">
      <alignment horizontal="center" vertical="center"/>
    </xf>
    <xf numFmtId="9" fontId="1" fillId="0" borderId="50" xfId="0" applyNumberFormat="1" applyFont="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9" fontId="11" fillId="0" borderId="45" xfId="1" applyNumberFormat="1" applyFont="1" applyBorder="1" applyAlignment="1">
      <alignment horizontal="center" vertical="center"/>
    </xf>
    <xf numFmtId="9" fontId="11" fillId="0" borderId="46" xfId="1" applyNumberFormat="1" applyFont="1" applyBorder="1" applyAlignment="1">
      <alignment horizontal="center" vertical="center"/>
    </xf>
    <xf numFmtId="9" fontId="11" fillId="0" borderId="47" xfId="1" applyNumberFormat="1" applyFont="1" applyBorder="1" applyAlignment="1">
      <alignment horizontal="center" vertical="center"/>
    </xf>
    <xf numFmtId="9" fontId="11" fillId="0" borderId="48" xfId="1" applyNumberFormat="1" applyFont="1" applyBorder="1" applyAlignment="1">
      <alignment horizontal="center" vertical="center"/>
    </xf>
    <xf numFmtId="1" fontId="11" fillId="0" borderId="47" xfId="1" applyNumberFormat="1" applyFont="1" applyBorder="1" applyAlignment="1">
      <alignment horizontal="center" vertical="center"/>
    </xf>
    <xf numFmtId="1" fontId="11" fillId="0" borderId="48" xfId="1" applyNumberFormat="1" applyFont="1" applyBorder="1" applyAlignment="1">
      <alignment horizontal="center" vertical="center"/>
    </xf>
    <xf numFmtId="1" fontId="16" fillId="0" borderId="53" xfId="1" applyNumberFormat="1" applyFont="1" applyBorder="1" applyAlignment="1">
      <alignment horizontal="center" vertical="center" wrapText="1"/>
    </xf>
    <xf numFmtId="1" fontId="16" fillId="0" borderId="54" xfId="1" applyNumberFormat="1" applyFont="1" applyBorder="1" applyAlignment="1">
      <alignment horizontal="center" vertical="center" wrapText="1"/>
    </xf>
    <xf numFmtId="1" fontId="14" fillId="0" borderId="47" xfId="1" applyNumberFormat="1" applyFont="1" applyBorder="1" applyAlignment="1">
      <alignment horizontal="center" vertical="center"/>
    </xf>
    <xf numFmtId="1" fontId="14" fillId="0" borderId="48" xfId="1" applyNumberFormat="1" applyFont="1" applyBorder="1" applyAlignment="1">
      <alignment horizontal="center" vertical="center"/>
    </xf>
    <xf numFmtId="1" fontId="11" fillId="28" borderId="51" xfId="1" applyNumberFormat="1" applyFont="1" applyFill="1" applyBorder="1" applyAlignment="1">
      <alignment horizontal="center" vertical="center"/>
    </xf>
    <xf numFmtId="1" fontId="11" fillId="28" borderId="52" xfId="1" applyNumberFormat="1" applyFont="1" applyFill="1" applyBorder="1" applyAlignment="1">
      <alignment horizontal="center" vertical="center"/>
    </xf>
    <xf numFmtId="1" fontId="11" fillId="28" borderId="45" xfId="1" applyNumberFormat="1" applyFont="1" applyFill="1" applyBorder="1" applyAlignment="1">
      <alignment horizontal="center" vertical="center"/>
    </xf>
    <xf numFmtId="1" fontId="11" fillId="28" borderId="46" xfId="1" applyNumberFormat="1" applyFont="1" applyFill="1" applyBorder="1" applyAlignment="1">
      <alignment horizontal="center" vertical="center"/>
    </xf>
    <xf numFmtId="9" fontId="14" fillId="0" borderId="45" xfId="1" applyNumberFormat="1" applyFont="1" applyBorder="1" applyAlignment="1">
      <alignment horizontal="center" vertical="center"/>
    </xf>
    <xf numFmtId="9" fontId="14" fillId="0" borderId="46" xfId="1" applyNumberFormat="1" applyFont="1" applyBorder="1" applyAlignment="1">
      <alignment horizontal="center" vertical="center"/>
    </xf>
    <xf numFmtId="9" fontId="14" fillId="0" borderId="47" xfId="1" applyNumberFormat="1" applyFont="1" applyBorder="1" applyAlignment="1">
      <alignment horizontal="center" vertical="center"/>
    </xf>
    <xf numFmtId="9" fontId="14" fillId="0" borderId="48" xfId="1" applyNumberFormat="1" applyFont="1" applyBorder="1" applyAlignment="1">
      <alignment horizontal="center" vertical="center"/>
    </xf>
    <xf numFmtId="9" fontId="14" fillId="0" borderId="49" xfId="1" applyNumberFormat="1" applyFont="1" applyBorder="1" applyAlignment="1">
      <alignment horizontal="center" vertical="center"/>
    </xf>
    <xf numFmtId="9" fontId="14" fillId="0" borderId="50" xfId="1" applyNumberFormat="1" applyFont="1" applyBorder="1" applyAlignment="1">
      <alignment horizontal="center" vertical="center"/>
    </xf>
    <xf numFmtId="1" fontId="14" fillId="0" borderId="49" xfId="1" applyNumberFormat="1" applyFont="1" applyBorder="1" applyAlignment="1">
      <alignment horizontal="center" vertical="center"/>
    </xf>
    <xf numFmtId="1" fontId="14" fillId="0" borderId="50" xfId="1" applyNumberFormat="1" applyFont="1" applyBorder="1" applyAlignment="1">
      <alignment horizontal="center" vertical="center"/>
    </xf>
    <xf numFmtId="1" fontId="14" fillId="0" borderId="55" xfId="1" applyNumberFormat="1" applyFont="1" applyBorder="1" applyAlignment="1">
      <alignment horizontal="center" vertical="center" wrapText="1"/>
    </xf>
    <xf numFmtId="1" fontId="14" fillId="0" borderId="56" xfId="1" applyNumberFormat="1" applyFont="1" applyBorder="1" applyAlignment="1">
      <alignment horizontal="center" vertical="center" wrapText="1"/>
    </xf>
    <xf numFmtId="9" fontId="1" fillId="0" borderId="57" xfId="1" applyNumberFormat="1" applyFont="1" applyBorder="1" applyAlignment="1">
      <alignment horizontal="center" vertical="center"/>
    </xf>
    <xf numFmtId="9" fontId="1" fillId="0" borderId="58" xfId="1" applyNumberFormat="1" applyFont="1" applyBorder="1" applyAlignment="1">
      <alignment horizontal="center" vertical="center"/>
    </xf>
    <xf numFmtId="0" fontId="15" fillId="0" borderId="59" xfId="0" applyFont="1" applyBorder="1" applyAlignment="1">
      <alignment horizontal="center" vertical="center" wrapText="1"/>
    </xf>
    <xf numFmtId="9" fontId="1" fillId="0" borderId="48" xfId="1" applyNumberFormat="1" applyFont="1" applyBorder="1" applyAlignment="1">
      <alignment horizontal="center" vertical="center"/>
    </xf>
    <xf numFmtId="9" fontId="1" fillId="28" borderId="52" xfId="1" applyNumberFormat="1" applyFont="1" applyFill="1" applyBorder="1" applyAlignment="1">
      <alignment horizontal="center" vertical="center"/>
    </xf>
    <xf numFmtId="9" fontId="1" fillId="0" borderId="60" xfId="1" applyNumberFormat="1" applyFont="1" applyBorder="1" applyAlignment="1">
      <alignment horizontal="center" vertical="center"/>
    </xf>
    <xf numFmtId="0" fontId="3" fillId="29" borderId="0" xfId="0" applyFont="1" applyFill="1" applyAlignment="1">
      <alignment horizontal="right" vertical="center"/>
    </xf>
    <xf numFmtId="164" fontId="19" fillId="29" borderId="0" xfId="0" applyNumberFormat="1" applyFont="1" applyFill="1" applyAlignment="1">
      <alignment horizontal="center" vertical="center"/>
    </xf>
    <xf numFmtId="0" fontId="20" fillId="29" borderId="0" xfId="0" applyFont="1" applyFill="1" applyAlignment="1">
      <alignment horizontal="right" vertical="center"/>
    </xf>
    <xf numFmtId="0" fontId="3" fillId="30" borderId="0" xfId="0" applyFont="1" applyFill="1" applyAlignment="1">
      <alignment horizontal="right" vertical="center"/>
    </xf>
    <xf numFmtId="1" fontId="19" fillId="30" borderId="0" xfId="0" applyNumberFormat="1" applyFont="1" applyFill="1" applyAlignment="1">
      <alignment horizontal="center" vertical="center"/>
    </xf>
    <xf numFmtId="0" fontId="3" fillId="31" borderId="0" xfId="0" applyFont="1" applyFill="1" applyAlignment="1">
      <alignment horizontal="right" vertical="center"/>
    </xf>
    <xf numFmtId="164" fontId="19" fillId="31" borderId="0" xfId="0" applyNumberFormat="1" applyFont="1" applyFill="1" applyAlignment="1">
      <alignment horizontal="center" vertical="center"/>
    </xf>
    <xf numFmtId="164" fontId="4" fillId="0" borderId="0" xfId="0" applyNumberFormat="1" applyFont="1" applyAlignment="1">
      <alignment horizontal="center" vertical="top"/>
    </xf>
    <xf numFmtId="1" fontId="19" fillId="29" borderId="0" xfId="0" applyNumberFormat="1" applyFont="1" applyFill="1" applyAlignment="1">
      <alignment horizontal="center" vertical="center"/>
    </xf>
    <xf numFmtId="0" fontId="1" fillId="25" borderId="0" xfId="0" applyFont="1" applyFill="1" applyAlignment="1">
      <alignment horizontal="right" vertical="center"/>
    </xf>
    <xf numFmtId="0" fontId="1" fillId="31" borderId="0" xfId="0" applyFont="1" applyFill="1" applyAlignment="1">
      <alignment horizontal="right" vertical="center"/>
    </xf>
    <xf numFmtId="1" fontId="1" fillId="31" borderId="0" xfId="0" applyNumberFormat="1" applyFont="1" applyFill="1" applyAlignment="1">
      <alignment horizontal="center" vertical="center"/>
    </xf>
    <xf numFmtId="9" fontId="19" fillId="29" borderId="0" xfId="0" applyNumberFormat="1" applyFont="1" applyFill="1" applyAlignment="1">
      <alignment horizontal="center" vertical="center"/>
    </xf>
    <xf numFmtId="0" fontId="1" fillId="25" borderId="61" xfId="0" applyFont="1" applyFill="1" applyBorder="1" applyAlignment="1">
      <alignment horizontal="center" vertical="center"/>
    </xf>
    <xf numFmtId="0" fontId="8" fillId="25" borderId="61" xfId="0" applyFont="1" applyFill="1" applyBorder="1" applyAlignment="1">
      <alignment horizontal="center" vertical="center"/>
    </xf>
    <xf numFmtId="1" fontId="18" fillId="31" borderId="0" xfId="0" applyNumberFormat="1" applyFont="1" applyFill="1" applyAlignment="1">
      <alignment horizontal="center" vertical="center"/>
    </xf>
    <xf numFmtId="1" fontId="1" fillId="31" borderId="0" xfId="0" applyNumberFormat="1" applyFont="1" applyFill="1" applyAlignment="1">
      <alignment horizontal="center" vertical="center" wrapText="1"/>
    </xf>
    <xf numFmtId="164" fontId="1" fillId="31" borderId="0" xfId="0" applyNumberFormat="1" applyFont="1" applyFill="1" applyAlignment="1">
      <alignment horizontal="center" vertical="center"/>
    </xf>
    <xf numFmtId="0" fontId="1" fillId="31" borderId="18" xfId="0" applyFont="1" applyFill="1" applyBorder="1" applyAlignment="1">
      <alignment horizontal="center" vertical="center"/>
    </xf>
    <xf numFmtId="0" fontId="1" fillId="31" borderId="2" xfId="0" applyFont="1" applyFill="1" applyBorder="1" applyAlignment="1">
      <alignment horizontal="center" vertical="center"/>
    </xf>
    <xf numFmtId="0" fontId="1" fillId="31" borderId="20" xfId="0" applyFont="1" applyFill="1" applyBorder="1" applyAlignment="1">
      <alignment horizontal="center" vertical="center"/>
    </xf>
    <xf numFmtId="0" fontId="1" fillId="31" borderId="0" xfId="0" applyFont="1" applyFill="1" applyBorder="1" applyAlignment="1">
      <alignment horizontal="center" vertical="center"/>
    </xf>
    <xf numFmtId="9" fontId="17" fillId="0" borderId="27" xfId="1" applyNumberFormat="1" applyFont="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4" fillId="0" borderId="0" xfId="0" applyFont="1" applyAlignment="1">
      <alignment vertical="top"/>
    </xf>
    <xf numFmtId="0" fontId="23" fillId="0" borderId="10" xfId="0" applyFont="1" applyBorder="1" applyAlignment="1">
      <alignment horizontal="center" vertical="center"/>
    </xf>
    <xf numFmtId="0" fontId="23" fillId="0" borderId="2" xfId="0" applyFont="1" applyBorder="1" applyAlignment="1">
      <alignment horizontal="center" vertical="center"/>
    </xf>
    <xf numFmtId="0" fontId="23" fillId="0" borderId="24" xfId="0" applyFont="1" applyBorder="1" applyAlignment="1">
      <alignment horizontal="center" vertical="center"/>
    </xf>
    <xf numFmtId="0" fontId="23" fillId="0" borderId="18" xfId="0" applyFont="1" applyBorder="1" applyAlignment="1">
      <alignment horizontal="center" vertical="center"/>
    </xf>
    <xf numFmtId="9" fontId="24" fillId="0" borderId="2" xfId="1" applyNumberFormat="1" applyFont="1" applyBorder="1" applyAlignment="1">
      <alignment horizontal="center" vertical="center"/>
    </xf>
    <xf numFmtId="9" fontId="24" fillId="0" borderId="0" xfId="1" applyNumberFormat="1" applyFont="1" applyBorder="1" applyAlignment="1">
      <alignment horizontal="center" vertical="center"/>
    </xf>
    <xf numFmtId="9" fontId="24" fillId="0" borderId="18" xfId="1" applyNumberFormat="1" applyFont="1" applyBorder="1" applyAlignment="1">
      <alignment horizontal="center" vertical="center"/>
    </xf>
    <xf numFmtId="9" fontId="23" fillId="0" borderId="22" xfId="0" applyNumberFormat="1" applyFont="1" applyBorder="1" applyAlignment="1">
      <alignment horizontal="center" vertical="center"/>
    </xf>
    <xf numFmtId="9" fontId="23" fillId="0" borderId="7" xfId="0" applyNumberFormat="1" applyFont="1" applyBorder="1" applyAlignment="1">
      <alignment horizontal="center" vertical="center"/>
    </xf>
    <xf numFmtId="0" fontId="0" fillId="0" borderId="0" xfId="0" applyAlignment="1">
      <alignment vertical="center" wrapText="1"/>
    </xf>
    <xf numFmtId="0" fontId="4" fillId="0" borderId="0" xfId="0" applyFont="1" applyAlignment="1">
      <alignment vertical="center"/>
    </xf>
    <xf numFmtId="0" fontId="1" fillId="0" borderId="0" xfId="0" applyFont="1" applyAlignment="1">
      <alignment vertical="center"/>
    </xf>
    <xf numFmtId="0" fontId="18"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horizontal="right" vertical="center"/>
    </xf>
    <xf numFmtId="0" fontId="5" fillId="27" borderId="0" xfId="0" applyFont="1" applyFill="1" applyAlignment="1">
      <alignment horizontal="center" vertical="center" wrapText="1"/>
    </xf>
    <xf numFmtId="0" fontId="5" fillId="32" borderId="0" xfId="0" applyFont="1" applyFill="1" applyAlignment="1">
      <alignment horizontal="center" vertical="center" wrapText="1"/>
    </xf>
    <xf numFmtId="0" fontId="1" fillId="0" borderId="0" xfId="0" applyFont="1" applyAlignment="1">
      <alignment horizontal="center" vertical="top"/>
    </xf>
  </cellXfs>
  <cellStyles count="2">
    <cellStyle name="Hyperlink" xfId="1" builtinId="8"/>
    <cellStyle name="Normal" xfId="0" builtinId="0"/>
  </cellStyles>
  <dxfs count="305">
    <dxf>
      <font>
        <color rgb="FFC00000"/>
      </font>
    </dxf>
    <dxf>
      <font>
        <color rgb="FFC00000"/>
      </font>
    </dxf>
    <dxf>
      <font>
        <color rgb="FFC00000"/>
      </font>
    </dxf>
    <dxf>
      <font>
        <color rgb="FF00B050"/>
      </font>
    </dxf>
    <dxf>
      <font>
        <color rgb="FFC00000"/>
      </font>
    </dxf>
    <dxf>
      <font>
        <color rgb="FF00B05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alignment horizontal="general" vertical="center" textRotation="0" wrapText="0" indent="0" justifyLastLine="0" shrinkToFit="0" readingOrder="0"/>
    </dxf>
    <dxf>
      <font>
        <b/>
        <strike val="0"/>
        <outline val="0"/>
        <shadow val="0"/>
        <u val="none"/>
        <vertAlign val="baseline"/>
        <sz val="10"/>
        <color rgb="FFC00000"/>
        <name val="Arial"/>
        <scheme val="none"/>
      </font>
      <alignment horizontal="general" vertical="center" textRotation="0" wrapText="0" indent="0" justifyLastLine="0" shrinkToFit="0" readingOrder="0"/>
    </dxf>
    <dxf>
      <font>
        <b/>
        <strike val="0"/>
        <outline val="0"/>
        <shadow val="0"/>
        <u val="none"/>
        <vertAlign val="baseline"/>
        <sz val="10"/>
        <color theme="7" tint="0.39997558519241921"/>
        <name val="Arial"/>
        <scheme val="none"/>
      </font>
      <alignment horizontal="general" vertical="center" textRotation="0" wrapText="0" indent="0" justifyLastLine="0" shrinkToFit="0" readingOrder="0"/>
    </dxf>
    <dxf>
      <font>
        <b/>
      </font>
      <alignment horizontal="general" vertical="center" textRotation="0" wrapText="0" indent="0" justifyLastLine="0" shrinkToFit="0" readingOrder="0"/>
    </dxf>
    <dxf>
      <font>
        <b/>
      </font>
      <alignment horizontal="general" vertical="center" textRotation="0" wrapText="0" indent="0" justifyLastLine="0" shrinkToFit="0" readingOrder="0"/>
    </dxf>
    <dxf>
      <font>
        <b/>
      </font>
      <alignment horizontal="general" vertical="center" textRotation="0" wrapText="0" indent="0" justifyLastLine="0" shrinkToFit="0" readingOrder="0"/>
    </dxf>
    <dxf>
      <font>
        <b/>
        <strike val="0"/>
        <outline val="0"/>
        <shadow val="0"/>
        <u val="none"/>
        <vertAlign val="baseline"/>
        <sz val="10"/>
        <color rgb="FF7030A0"/>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rgb="FFC00000"/>
      </font>
    </dxf>
    <dxf>
      <font>
        <color rgb="FFC00000"/>
      </font>
    </dxf>
    <dxf>
      <font>
        <color rgb="FFC00000"/>
      </font>
    </dxf>
    <dxf>
      <font>
        <color rgb="FF00B050"/>
      </font>
    </dxf>
    <dxf>
      <font>
        <color rgb="FFC00000"/>
      </font>
    </dxf>
    <dxf>
      <font>
        <color rgb="FF00B05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00B050"/>
      </font>
    </dxf>
    <dxf>
      <font>
        <color rgb="FFC00000"/>
      </font>
    </dxf>
    <dxf>
      <font>
        <color rgb="FF00B05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00B050"/>
      </font>
    </dxf>
    <dxf>
      <font>
        <color rgb="FFC00000"/>
      </font>
    </dxf>
    <dxf>
      <font>
        <color rgb="FF00B05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00B050"/>
      </font>
    </dxf>
    <dxf>
      <font>
        <color rgb="FFC00000"/>
      </font>
    </dxf>
    <dxf>
      <font>
        <color rgb="FF00B05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right" vertical="center" textRotation="0" wrapText="0" indent="0" justifyLastLine="0" shrinkToFit="0" readingOrder="0"/>
    </dxf>
    <dxf>
      <alignment vertical="center" textRotation="0" wrapText="0" justifyLastLine="0" shrinkToFit="0" readingOrder="0"/>
    </dxf>
    <dxf>
      <border>
        <bottom style="medium">
          <color auto="1"/>
        </bottom>
      </border>
    </dxf>
    <dxf>
      <alignment vertical="center" textRotation="0" wrapText="0" justifyLastLine="0" shrinkToFit="0" readingOrder="0"/>
      <border diagonalUp="0" diagonalDown="0">
        <left/>
        <right/>
        <top/>
        <bottom/>
        <vertical/>
        <horizontal/>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border diagonalUp="0" diagonalDown="0">
        <left/>
        <right style="thick">
          <color theme="5" tint="-0.499984740745262"/>
        </right>
        <vertical/>
      </border>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border diagonalUp="0" diagonalDown="0">
        <left style="thick">
          <color theme="5" tint="-0.499984740745262"/>
        </left>
        <right/>
        <vertical/>
      </border>
    </dxf>
    <dxf>
      <border diagonalUp="0" diagonalDown="0">
        <left/>
        <right style="thick">
          <color theme="5" tint="-0.499984740745262"/>
        </right>
        <vertical/>
      </border>
    </dxf>
    <dxf>
      <border diagonalUp="0" diagonalDown="0">
        <left style="thick">
          <color theme="5" tint="-0.499984740745262"/>
        </left>
        <right/>
        <vertical/>
      </border>
    </dxf>
    <dxf>
      <border diagonalUp="0" diagonalDown="0">
        <left/>
        <right style="medium">
          <color theme="5" tint="-0.499984740745262"/>
        </right>
        <vertical/>
      </border>
    </dxf>
    <dxf>
      <border diagonalUp="0" diagonalDown="0">
        <left style="medium">
          <color theme="5" tint="-0.499984740745262"/>
        </left>
        <right/>
        <vertical/>
      </border>
    </dxf>
    <dxf>
      <border diagonalUp="0" diagonalDown="0">
        <left/>
        <right style="medium">
          <color theme="5" tint="-0.499984740745262"/>
        </right>
        <vertical/>
      </border>
    </dxf>
    <dxf>
      <border diagonalUp="0" diagonalDown="0">
        <left style="medium">
          <color theme="5" tint="-0.499984740745262"/>
        </left>
        <right/>
        <vertical/>
      </border>
    </dxf>
    <dxf>
      <border diagonalUp="0" diagonalDown="0">
        <left/>
        <right style="medium">
          <color theme="5" tint="-0.499984740745262"/>
        </right>
        <vertical/>
      </border>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3" formatCode="0%"/>
      <alignment horizontal="center" vertical="center" textRotation="0" wrapText="0" indent="0" justifyLastLine="0" shrinkToFit="0" readingOrder="0"/>
    </dxf>
    <dxf>
      <font>
        <b/>
      </font>
      <alignment horizontal="center" vertical="center" textRotation="0" wrapText="0" indent="0" justifyLastLine="0" shrinkToFit="0" readingOrder="0"/>
      <border diagonalUp="0" diagonalDown="0">
        <left style="medium">
          <color theme="5" tint="-0.499984740745262"/>
        </left>
        <right/>
        <vertical/>
      </border>
    </dxf>
    <dxf>
      <font>
        <b val="0"/>
        <i val="0"/>
        <strike val="0"/>
        <condense val="0"/>
        <extend val="0"/>
        <outline val="0"/>
        <shadow val="0"/>
        <u val="none"/>
        <vertAlign val="baseline"/>
        <sz val="10"/>
        <color auto="1"/>
        <name val="Arial"/>
        <scheme val="none"/>
      </font>
      <alignment horizontal="right" vertical="center" textRotation="0" wrapText="0" indent="0" justifyLastLine="0" shrinkToFit="0" readingOrder="0"/>
      <border diagonalUp="0" diagonalDown="0">
        <left style="medium">
          <color theme="5" tint="-0.499984740745262"/>
        </left>
        <right style="medium">
          <color theme="5" tint="-0.499984740745262"/>
        </right>
        <vertical/>
      </border>
    </dxf>
    <dxf>
      <alignment vertical="center" textRotation="0" wrapText="0" justifyLastLine="0" shrinkToFit="0" readingOrder="0"/>
    </dxf>
    <dxf>
      <border>
        <bottom style="medium">
          <color auto="1"/>
        </bottom>
      </border>
    </dxf>
    <dxf>
      <font>
        <strike val="0"/>
        <outline val="0"/>
        <shadow val="0"/>
        <u val="none"/>
        <vertAlign val="baseline"/>
        <sz val="11"/>
        <color auto="1"/>
        <name val="Arial"/>
        <scheme val="none"/>
      </font>
      <alignment vertical="center" textRotation="0" wrapText="0" justifyLastLine="0" shrinkToFit="0" readingOrder="0"/>
      <border diagonalUp="0" diagonalDown="0" outline="0">
        <left/>
        <right/>
        <top/>
        <bottom/>
      </border>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20</xdr:col>
      <xdr:colOff>0</xdr:colOff>
      <xdr:row>42</xdr:row>
      <xdr:rowOff>76200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09600" y="190500"/>
          <a:ext cx="11582400" cy="668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r>
            <a:rPr lang="en-US" sz="1100"/>
            <a:t>### Dividing Forces</a:t>
          </a:r>
        </a:p>
        <a:p>
          <a:r>
            <a:rPr lang="en-US" sz="1100"/>
            <a:t>To use the War Machine in a battle, each side must have the same number of forces engaging in battle at the same time (each side can also have reserves not engaging at a given point in time, and these are not counted at this stage for the number of forces). Each engaging force from one side must be engaged by exactly one force from an adversary in the battle. If one side has a greater number of forces than the other side, the side with fewer forces must be divided into an equal number of forces. A player may keep the original rating of the force, and simply declare that troops have been split into separate armies.</a:t>
          </a:r>
        </a:p>
        <a:p>
          <a:endParaRPr lang="en-US" sz="1100"/>
        </a:p>
        <a:p>
          <a:r>
            <a:rPr lang="en-US" sz="1100"/>
            <a:t>Example: A force of 1,000 orcs (BR 72) meets three other forces: 200 elves (BR 83), 400 men (BR 70), and 140 dwarves (BR 88). The orcs must split into three forces, all of which will have the same BR (72). These might be 100, 100 and 800, or any other combination, as long as at least 10 individuals are in each force.</a:t>
          </a:r>
        </a:p>
        <a:p>
          <a:endParaRPr lang="en-US" sz="1100"/>
        </a:p>
        <a:p>
          <a:r>
            <a:rPr lang="en-US" sz="1100"/>
            <a:t>Each force picks its opponent; the player with the force having the highest BR chooses first, then the force with the next-highest BR, and so on. Continuing the example above, the dwarves pick one group of 100 orcs. The next highest rated force picks an opponent; the elves take the other group of 100 orcs. The third highest rating is the orcs, so they would choose next-but there are only one remaining force, the men, so the 800 orcs will fight the 400 men.</a:t>
          </a:r>
        </a:p>
        <a:p>
          <a:endParaRPr lang="en-US" sz="1100"/>
        </a:p>
        <a:p>
          <a:r>
            <a:rPr lang="en-US" sz="1100"/>
            <a:t>## Step 4: Compute Battle Modifier</a:t>
          </a:r>
        </a:p>
        <a:p>
          <a:r>
            <a:rPr lang="en-US" sz="1100"/>
            <a:t>The forces that have been rated according to the above three steps are now prepared to meet on the field of battle. To find out what the result of this engagement is, start with the BR of each force, and add or subtract all of the following adjustments that apply.</a:t>
          </a:r>
        </a:p>
        <a:p>
          <a:r>
            <a:rPr lang="en-US" sz="1100"/>
            <a:t>```</a:t>
          </a:r>
        </a:p>
        <a:p>
          <a:r>
            <a:rPr lang="en-US" sz="1100"/>
            <a:t>```</a:t>
          </a:r>
        </a:p>
        <a:p>
          <a:r>
            <a:rPr lang="en-US" sz="1100"/>
            <a:t>##### 1. Troop Ratio (only use one per battle)</a:t>
          </a:r>
        </a:p>
        <a:p>
          <a:r>
            <a:rPr lang="en-US" sz="1100"/>
            <a:t>| Bonus | Ratio |</a:t>
          </a:r>
        </a:p>
        <a:p>
          <a:r>
            <a:rPr lang="en-US" sz="1100"/>
            <a:t>|:----:|:-------------|</a:t>
          </a:r>
        </a:p>
        <a:p>
          <a:r>
            <a:rPr lang="en-US" sz="1100"/>
            <a:t>| + 15 | if 1.5 to 1 |</a:t>
          </a:r>
        </a:p>
        <a:p>
          <a:r>
            <a:rPr lang="en-US" sz="1100"/>
            <a:t>| + 30 | if 2 to 1 |</a:t>
          </a:r>
        </a:p>
        <a:p>
          <a:r>
            <a:rPr lang="en-US" sz="1100"/>
            <a:t>| + 35 | if 3 to 1</a:t>
          </a:r>
        </a:p>
        <a:p>
          <a:r>
            <a:rPr lang="en-US" sz="1100"/>
            <a:t>| + 60 | if 4 to 1</a:t>
          </a:r>
        </a:p>
        <a:p>
          <a:r>
            <a:rPr lang="en-US" sz="1100"/>
            <a:t>| + 70 | if 5 to 1</a:t>
          </a:r>
        </a:p>
        <a:p>
          <a:r>
            <a:rPr lang="en-US" sz="1100"/>
            <a:t>| + 80 | if 6 to 1</a:t>
          </a:r>
        </a:p>
        <a:p>
          <a:r>
            <a:rPr lang="en-US" sz="1100"/>
            <a:t>| + 90 | if 7 to 1</a:t>
          </a:r>
        </a:p>
        <a:p>
          <a:r>
            <a:rPr lang="en-US" sz="1100"/>
            <a:t>| + 100 | if 8-10 to 1</a:t>
          </a:r>
        </a:p>
        <a:p>
          <a:r>
            <a:rPr lang="en-US" sz="1100"/>
            <a:t>| + 110 | if 11-15 to 1</a:t>
          </a:r>
        </a:p>
        <a:p>
          <a:r>
            <a:rPr lang="en-US" sz="1100"/>
            <a:t>| + 120 | if 16-20 to 1</a:t>
          </a:r>
        </a:p>
        <a:p>
          <a:r>
            <a:rPr lang="en-US" sz="1100"/>
            <a:t>| + 130 | if 21-30 to 1</a:t>
          </a:r>
        </a:p>
        <a:p>
          <a:r>
            <a:rPr lang="en-US" sz="1100"/>
            <a:t>| + 140 | if 31-4o to 1</a:t>
          </a:r>
        </a:p>
        <a:p>
          <a:r>
            <a:rPr lang="en-US" sz="1100"/>
            <a:t>| + 150 | if 41-50 to 1</a:t>
          </a:r>
        </a:p>
        <a:p>
          <a:r>
            <a:rPr lang="en-US" sz="1100"/>
            <a:t>| + 160 | if 51-60 to 1, etc.</a:t>
          </a:r>
        </a:p>
        <a:p>
          <a:r>
            <a:rPr lang="en-US" sz="1100"/>
            <a:t>Find the total number of troops in each force, and divide the larger number by the smaller. Only the larger side benefits from this adjustment, and only one benefit applies.</a:t>
          </a:r>
        </a:p>
        <a:p>
          <a:endParaRPr lang="en-US" sz="1100"/>
        </a:p>
        <a:p>
          <a:r>
            <a:rPr lang="en-US" sz="1100"/>
            <a:t>Steeds are only counted as members of a force if their primary function is fighting (such as dragons) and not transportation (such as horses).</a:t>
          </a:r>
        </a:p>
        <a:p>
          <a:endParaRPr lang="en-US" sz="1100"/>
        </a:p>
        <a:p>
          <a:r>
            <a:rPr lang="en-US" sz="1100"/>
            <a:t>##### 2. Morale (Use all that apply)</a:t>
          </a:r>
        </a:p>
        <a:p>
          <a:r>
            <a:rPr lang="en-US" sz="1100"/>
            <a:t>| Bonus | Condition |</a:t>
          </a:r>
        </a:p>
        <a:p>
          <a:r>
            <a:rPr lang="en-US" sz="1100"/>
            <a:t>|:----:|:-------------|</a:t>
          </a:r>
        </a:p>
        <a:p>
          <a:r>
            <a:rPr lang="en-US" sz="1100"/>
            <a:t>| + 10 | if force is in dominion of their liege</a:t>
          </a:r>
        </a:p>
        <a:p>
          <a:r>
            <a:rPr lang="en-US" sz="1100"/>
            <a:t>| + 10 | if they have beaten this foe before</a:t>
          </a:r>
        </a:p>
        <a:p>
          <a:r>
            <a:rPr lang="en-US" sz="1100"/>
            <a:t>| + 10 | if troop class is 2 levels higher than the enemy</a:t>
          </a:r>
        </a:p>
        <a:p>
          <a:r>
            <a:rPr lang="en-US" sz="1100"/>
            <a:t>| + 30 | if attacking an enemy "on the march"</a:t>
          </a:r>
        </a:p>
        <a:p>
          <a:r>
            <a:rPr lang="en-US" sz="1100"/>
            <a:t>| - 10 | if any accompanying force has routed</a:t>
          </a:r>
        </a:p>
        <a:p>
          <a:r>
            <a:rPr lang="en-US" sz="1100"/>
            <a:t>This reflects the confidence of a force. Troops that fight in their home territory, that know they can beat an opponent, or are of superior quality to the foe may benefit from one, some, or all of these.</a:t>
          </a:r>
        </a:p>
        <a:p>
          <a:endParaRPr lang="en-US" sz="1100"/>
        </a:p>
        <a:p>
          <a:endParaRPr lang="en-US" sz="1100"/>
        </a:p>
        <a:p>
          <a:r>
            <a:rPr lang="en-US" sz="1100"/>
            <a:t>##### 3. Environment (Use all that apply):</a:t>
          </a:r>
        </a:p>
        <a:p>
          <a:r>
            <a:rPr lang="en-US" sz="1100"/>
            <a:t>| Bonus | Environment |</a:t>
          </a:r>
        </a:p>
        <a:p>
          <a:r>
            <a:rPr lang="en-US" sz="1100"/>
            <a:t>|:----:|:-------------|</a:t>
          </a:r>
        </a:p>
        <a:p>
          <a:r>
            <a:rPr lang="en-US" sz="1100"/>
            <a:t>| + 25 | if in extremely favorable environment</a:t>
          </a:r>
        </a:p>
        <a:p>
          <a:r>
            <a:rPr lang="en-US" sz="1100"/>
            <a:t>| - 25 | if in extremely unfavorable environment</a:t>
          </a:r>
        </a:p>
        <a:p>
          <a:r>
            <a:rPr lang="en-US" sz="1100"/>
            <a:t>| + 20 | if the entire force in a night battle has infravision</a:t>
          </a:r>
        </a:p>
        <a:p>
          <a:endParaRPr lang="en-US" sz="1100"/>
        </a:p>
        <a:p>
          <a:r>
            <a:rPr lang="en-US" sz="1100"/>
            <a:t>Certain conditions may help or harm a force. Goblins in the daylight are at a disadvantage, as are fire giants in snow.</a:t>
          </a:r>
        </a:p>
        <a:p>
          <a:endParaRPr lang="en-US" sz="1100"/>
        </a:p>
        <a:p>
          <a:r>
            <a:rPr lang="en-US" sz="1100"/>
            <a:t>Troops properly equipped and trained or native to the terrain do not suffer the penalty (e.g. Arabs in desert).</a:t>
          </a:r>
        </a:p>
        <a:p>
          <a:endParaRPr lang="en-US" sz="1100"/>
        </a:p>
        <a:p>
          <a:r>
            <a:rPr lang="en-US" sz="1100"/>
            <a:t>&lt;div class='pageNumber auto'&gt;&lt;/div&gt;</a:t>
          </a:r>
        </a:p>
        <a:p>
          <a:r>
            <a:rPr lang="en-US" sz="1100"/>
            <a:t>\page</a:t>
          </a:r>
        </a:p>
        <a:p>
          <a:endParaRPr lang="en-US" sz="1100"/>
        </a:p>
        <a:p>
          <a:r>
            <a:rPr lang="en-US" sz="1100"/>
            <a:t>##### 4.a. Terrain (Use all that apply):</a:t>
          </a:r>
        </a:p>
        <a:p>
          <a:r>
            <a:rPr lang="en-US" sz="1100"/>
            <a:t>| Bonus | Situation |</a:t>
          </a:r>
        </a:p>
        <a:p>
          <a:r>
            <a:rPr lang="en-US" sz="1100"/>
            <a:t>|:----:|:-------------|</a:t>
          </a:r>
        </a:p>
        <a:p>
          <a:r>
            <a:rPr lang="en-US" sz="1100"/>
            <a:t>| + 20 | if higher altitude than opponent</a:t>
          </a:r>
        </a:p>
        <a:p>
          <a:r>
            <a:rPr lang="en-US" sz="1100"/>
            <a:t>| + 20 | for halfling force in fields of woods</a:t>
          </a:r>
        </a:p>
        <a:p>
          <a:r>
            <a:rPr lang="en-US" sz="1100"/>
            <a:t>| + 10 | for elven force in woods</a:t>
          </a:r>
        </a:p>
        <a:p>
          <a:r>
            <a:rPr lang="en-US" sz="1100"/>
            <a:t>| + 20 | for dwarven force in hills or mountains</a:t>
          </a:r>
        </a:p>
        <a:p>
          <a:r>
            <a:rPr lang="en-US" sz="1100"/>
            <a:t>| - 20 | for force with mounted troops in mountains, woods, or stronghold</a:t>
          </a:r>
        </a:p>
        <a:p>
          <a:r>
            <a:rPr lang="en-US" sz="1100"/>
            <a:t>| - 20 | for force in mire (marsh/mud)*</a:t>
          </a:r>
        </a:p>
        <a:p>
          <a:r>
            <a:rPr lang="en-US" sz="1100"/>
            <a:t>| - 10 | for force on shifting ground (snow/ sand)*</a:t>
          </a:r>
        </a:p>
        <a:p>
          <a:r>
            <a:rPr lang="en-US" sz="1100"/>
            <a:t>In many cases, the ground on which the battle is fought will give an advantage to one side of the other. Apply as many of these modifiers as fit your force; note that some apply only to defenders.</a:t>
          </a:r>
        </a:p>
        <a:p>
          <a:endParaRPr lang="en-US" sz="1100"/>
        </a:p>
        <a:p>
          <a:r>
            <a:rPr lang="en-US" sz="1100"/>
            <a:t>Determining who the "Defender" is: If one force has taken a position and waits for the other to come to it, that force is the defender. When two forces arrive at the same location at the same time, they must stop moving. If both forces choose to defend, neither gets the defender bonus.</a:t>
          </a:r>
        </a:p>
        <a:p>
          <a:endParaRPr lang="en-US" sz="1100"/>
        </a:p>
        <a:p>
          <a:r>
            <a:rPr lang="en-US" sz="1100"/>
            <a:t>##### 4.b. Terrain Modifications (for Defenders Only) </a:t>
          </a:r>
        </a:p>
        <a:p>
          <a:r>
            <a:rPr lang="en-US" sz="1100"/>
            <a:t>| Bonus | Situation |</a:t>
          </a:r>
        </a:p>
        <a:p>
          <a:r>
            <a:rPr lang="en-US" sz="1100"/>
            <a:t>|:----:|:-------------|</a:t>
          </a:r>
        </a:p>
        <a:p>
          <a:r>
            <a:rPr lang="en-US" sz="1100"/>
            <a:t>| + 10 | if defending in place (holding)</a:t>
          </a:r>
        </a:p>
        <a:p>
          <a:r>
            <a:rPr lang="en-US" sz="1100"/>
            <a:t>| + 50 | if defending a narrow defile, pass or bridge</a:t>
          </a:r>
        </a:p>
        <a:p>
          <a:r>
            <a:rPr lang="en-US" sz="1100"/>
            <a:t>| + 40 | if attacker must cross deep water</a:t>
          </a:r>
        </a:p>
        <a:p>
          <a:r>
            <a:rPr lang="en-US" sz="1100"/>
            <a:t>| + 20 | if defending in mountains, hills, or rough terrain, or behind a wall</a:t>
          </a:r>
        </a:p>
        <a:p>
          <a:r>
            <a:rPr lang="en-US" sz="1100"/>
            <a:t>| + 50 | if force is in a stronghold (see "Sieges")</a:t>
          </a:r>
        </a:p>
        <a:p>
          <a:r>
            <a:rPr lang="en-US" sz="1100"/>
            <a:t>* Ignore if all attackers can fly</a:t>
          </a:r>
        </a:p>
        <a:p>
          <a:r>
            <a:rPr lang="en-US" sz="1100"/>
            <a:t>* use only half adjustment if 5% or more of attackers can fly</a:t>
          </a:r>
        </a:p>
        <a:p>
          <a:endParaRPr lang="en-US" sz="1100"/>
        </a:p>
        <a:p>
          <a:r>
            <a:rPr lang="en-US" sz="1100"/>
            <a:t>#####  5. Immunities (Use only one per force):</a:t>
          </a:r>
        </a:p>
        <a:p>
          <a:r>
            <a:rPr lang="en-US" sz="1100"/>
            <a:t>| Bonus | Immunity |</a:t>
          </a:r>
        </a:p>
        <a:p>
          <a:r>
            <a:rPr lang="en-US" sz="1100"/>
            <a:t>|:----:|:-------------|</a:t>
          </a:r>
        </a:p>
        <a:p>
          <a:r>
            <a:rPr lang="en-US" sz="1100"/>
            <a:t>| + 150 | if force is immune to enemy's attacks</a:t>
          </a:r>
        </a:p>
        <a:p>
          <a:r>
            <a:rPr lang="en-US" sz="1100"/>
            <a:t>| + 75 | if force is resistant to enemy's attacks</a:t>
          </a:r>
        </a:p>
        <a:p>
          <a:r>
            <a:rPr lang="en-US" sz="1100"/>
            <a:t>| + 50 | if 10% of force is immune to enemy's attacks</a:t>
          </a:r>
        </a:p>
        <a:p>
          <a:r>
            <a:rPr lang="en-US" sz="1100"/>
            <a:t>| + 20 | if 10% of force is resistant to enemy's attacks</a:t>
          </a:r>
        </a:p>
        <a:p>
          <a:endParaRPr lang="en-US" sz="1100"/>
        </a:p>
        <a:p>
          <a:r>
            <a:rPr lang="en-US" sz="1100"/>
            <a:t>##### 6. Fatigue (Use only one per force):</a:t>
          </a:r>
        </a:p>
        <a:p>
          <a:r>
            <a:rPr lang="en-US" sz="1100"/>
            <a:t>| Bonus | Condition |</a:t>
          </a:r>
        </a:p>
        <a:p>
          <a:r>
            <a:rPr lang="en-US" sz="1100"/>
            <a:t>|:----:|:-------------|</a:t>
          </a:r>
        </a:p>
        <a:p>
          <a:r>
            <a:rPr lang="en-US" sz="1100"/>
            <a:t>| - 10 | per exhaustion level of the Force</a:t>
          </a:r>
        </a:p>
        <a:p>
          <a:endParaRPr lang="en-US" sz="1100"/>
        </a:p>
        <a:p>
          <a:r>
            <a:rPr lang="en-US" sz="1100"/>
            <a:t>```</a:t>
          </a:r>
        </a:p>
        <a:p>
          <a:r>
            <a:rPr lang="en-US" sz="1100"/>
            <a:t>```</a:t>
          </a:r>
        </a:p>
        <a:p>
          <a:endParaRPr lang="en-US" sz="1100"/>
        </a:p>
        <a:p>
          <a:r>
            <a:rPr lang="en-US" sz="1100"/>
            <a:t>### Optional Battle Modifiers</a:t>
          </a:r>
        </a:p>
        <a:p>
          <a:endParaRPr lang="en-US" sz="1100"/>
        </a:p>
        <a:p>
          <a:r>
            <a:rPr lang="en-US" sz="1100"/>
            <a:t>#### Character Actions (Optional)</a:t>
          </a:r>
        </a:p>
        <a:p>
          <a:r>
            <a:rPr lang="en-US" sz="1100"/>
            <a:t>Some of the actions of player characters can have a great effect on the outcome of a battle. Use the following adjustments to the battle fating (BR). All modifications apply to the total BR of the force.</a:t>
          </a:r>
        </a:p>
        <a:p>
          <a:endParaRPr lang="en-US" sz="1100"/>
        </a:p>
        <a:p>
          <a:r>
            <a:rPr lang="en-US" sz="1100"/>
            <a:t>##### Information (Use only one per force):</a:t>
          </a:r>
        </a:p>
        <a:p>
          <a:r>
            <a:rPr lang="en-US" sz="1100"/>
            <a:t>| Bonus | Information |</a:t>
          </a:r>
        </a:p>
        <a:p>
          <a:r>
            <a:rPr lang="en-US" sz="1100"/>
            <a:t>|:----:|:-------------|</a:t>
          </a:r>
        </a:p>
        <a:p>
          <a:r>
            <a:rPr lang="en-US" sz="1100"/>
            <a:t>| + 50 | detailed plan, or with traitor or spy</a:t>
          </a:r>
        </a:p>
        <a:p>
          <a:r>
            <a:rPr lang="en-US" sz="1100"/>
            <a:t>| + 20 | with good reconnaissance</a:t>
          </a:r>
        </a:p>
        <a:p>
          <a:r>
            <a:rPr lang="en-US" sz="1100"/>
            <a:t>| + 10 | with some reconnaissance</a:t>
          </a:r>
        </a:p>
        <a:p>
          <a:r>
            <a:rPr lang="en-US" sz="1100"/>
            <a:t>| - 25 | with misinformation</a:t>
          </a:r>
        </a:p>
        <a:p>
          <a:r>
            <a:rPr lang="en-US" sz="1100"/>
            <a:t>The information must be known to the commander of a side before the battle begins. Use + 50 if a plan has been captured, revealing the enemy's preparations, or if an enemy officer supplies the enemy force with information, or if a high-placed spy gives good reports. A single deserting soldier will not provide this benefit.</a:t>
          </a:r>
        </a:p>
        <a:p>
          <a:endParaRPr lang="en-US" sz="1100"/>
        </a:p>
        <a:p>
          <a:r>
            <a:rPr lang="en-US" sz="1100"/>
            <a:t>"Good reconnaissance" means that the entire opposing force has been scouted over severe hours, from several different directions. "Some reconnaissance" means that some scouting information has been gathered, but lacks detail. "Misinformation" can be the capture of fate plans, or belief in information provided by a double agent, or other unusual circumstances.</a:t>
          </a:r>
        </a:p>
        <a:p>
          <a:endParaRPr lang="en-US" sz="1100"/>
        </a:p>
        <a:p>
          <a:r>
            <a:rPr lang="en-US" sz="1100"/>
            <a:t>##### Surprise (use all that apply)</a:t>
          </a:r>
        </a:p>
        <a:p>
          <a:r>
            <a:rPr lang="en-US" sz="1100"/>
            <a:t>| Bonus | Circumstance |</a:t>
          </a:r>
        </a:p>
        <a:p>
          <a:r>
            <a:rPr lang="en-US" sz="1100"/>
            <a:t>|:----:|:-------------|</a:t>
          </a:r>
        </a:p>
        <a:p>
          <a:r>
            <a:rPr lang="en-US" sz="1100"/>
            <a:t>| + 40 | with surprise attack from ambush</a:t>
          </a:r>
        </a:p>
        <a:p>
          <a:r>
            <a:rPr lang="en-US" sz="1100"/>
            <a:t>| + 20 | with surprise attack on encampment</a:t>
          </a:r>
        </a:p>
        <a:p>
          <a:r>
            <a:rPr lang="en-US" sz="1100"/>
            <a:t>If a character does something exceptional to hide the force (camouflage them, occupy the heights over a narrow pass, etc.), the force has a 50% chance of surprising an enemy that moves into the ambush. If the ambushing force is invisible, the chance is 80%. Other adjustments for night, natural terrain (elves in woods, for example), or magic should be decided by the DM.</a:t>
          </a:r>
        </a:p>
        <a:p>
          <a:endParaRPr lang="en-US" sz="1100"/>
        </a:p>
        <a:p>
          <a:r>
            <a:rPr lang="en-US" sz="1100"/>
            <a:t>A surprise attack on an encampment requires the elimination of enemy pickets, guards, and any magical protections. If this can be accomplished with a role-playing adventure without raising an alarm, the encamped force can be attacked with surprise.</a:t>
          </a:r>
        </a:p>
        <a:p>
          <a:endParaRPr lang="en-US" sz="1100"/>
        </a:p>
        <a:p>
          <a:r>
            <a:rPr lang="en-US" sz="1100"/>
            <a:t>&lt;div class='pageNumber auto'&gt;&lt;/div&gt;</a:t>
          </a:r>
        </a:p>
        <a:p>
          <a:r>
            <a:rPr lang="en-US" sz="1100"/>
            <a:t>\page</a:t>
          </a:r>
        </a:p>
        <a:p>
          <a:endParaRPr lang="en-US" sz="1100"/>
        </a:p>
        <a:p>
          <a:r>
            <a:rPr lang="en-US" sz="1100"/>
            <a:t>##### Leader Loss:</a:t>
          </a:r>
        </a:p>
        <a:p>
          <a:r>
            <a:rPr lang="en-US" sz="1100"/>
            <a:t>| Bonus | Circumstance |</a:t>
          </a:r>
        </a:p>
        <a:p>
          <a:r>
            <a:rPr lang="en-US" sz="1100"/>
            <a:t>|:----:|:-------------|</a:t>
          </a:r>
        </a:p>
        <a:p>
          <a:r>
            <a:rPr lang="en-US" sz="1100"/>
            <a:t>| + 30 | if leader is "removed"</a:t>
          </a:r>
        </a:p>
        <a:p>
          <a:r>
            <a:rPr lang="en-US" sz="1100"/>
            <a:t>| + 10 | if other officer is "removed"</a:t>
          </a:r>
        </a:p>
        <a:p>
          <a:endParaRPr lang="en-US" sz="1100"/>
        </a:p>
        <a:p>
          <a:r>
            <a:rPr lang="en-US" sz="1100"/>
            <a:t>"Removed" can mean killed, captured, charmed, put to sleep, or otherwise "removed" from the force before the battle begins. Removing an opposing leader does not count as a heroic task (see "PC Heroics").</a:t>
          </a:r>
        </a:p>
        <a:p>
          <a:endParaRPr lang="en-US" sz="1100"/>
        </a:p>
        <a:p>
          <a:r>
            <a:rPr lang="en-US" sz="1100"/>
            <a:t>An attempt to remove an opposing leader can become a good role-playing adventure. Be sure to allow a good chance of the PCs being "removed" themselves! Also, when a force led by a PC fights one led by an NPC, the enemy may send a group to "remove" the PC.</a:t>
          </a:r>
        </a:p>
        <a:p>
          <a:endParaRPr lang="en-US" sz="1100"/>
        </a:p>
        <a:p>
          <a:r>
            <a:rPr lang="en-US" sz="1100"/>
            <a:t>##### PC	Heroics:</a:t>
          </a:r>
        </a:p>
        <a:p>
          <a:r>
            <a:rPr lang="en-US" sz="1100"/>
            <a:t>| Bonus | Circumstance |</a:t>
          </a:r>
        </a:p>
        <a:p>
          <a:r>
            <a:rPr lang="en-US" sz="1100"/>
            <a:t>|:----:|:-------------|</a:t>
          </a:r>
        </a:p>
        <a:p>
          <a:r>
            <a:rPr lang="en-US" sz="1100"/>
            <a:t>| + 20 | if PC leader accomplishes heroic task</a:t>
          </a:r>
        </a:p>
        <a:p>
          <a:r>
            <a:rPr lang="en-US" sz="1100"/>
            <a:t>| + 10 | if other PC (not force leader) accomplishes heroic task</a:t>
          </a:r>
        </a:p>
        <a:p>
          <a:r>
            <a:rPr lang="en-US" sz="1100"/>
            <a:t>| - 20 | if PC leader fails heroic task</a:t>
          </a:r>
        </a:p>
        <a:p>
          <a:r>
            <a:rPr lang="en-US" sz="1100"/>
            <a:t>| - 10 | if other PC (not leader) fails heroic task</a:t>
          </a:r>
        </a:p>
        <a:p>
          <a:endParaRPr lang="en-US" sz="1100"/>
        </a:p>
        <a:p>
          <a:r>
            <a:rPr lang="en-US" sz="1100"/>
            <a:t>Only PCs can attempt heroics, and the DM must first create a situation where they may do so. The heroic act must be visible to at least 10% of the PC's force, and the act should be risky (a 50% chance of failure, or worse).</a:t>
          </a:r>
        </a:p>
        <a:p>
          <a:endParaRPr lang="en-US" sz="1100"/>
        </a:p>
        <a:p>
          <a:r>
            <a:rPr lang="en-US" sz="1100"/>
            <a:t>Example of Heroics: Fighting a huge and fearsome member of the opposing force (dragon, vampire, etc.); rescuing a "branch force" cut off from the main force; of single-handedly battling a huge enemy force.</a:t>
          </a:r>
        </a:p>
        <a:p>
          <a:endParaRPr lang="en-US" sz="1100"/>
        </a:p>
        <a:p>
          <a:endParaRPr lang="en-US" sz="1100"/>
        </a:p>
        <a:p>
          <a:r>
            <a:rPr lang="en-US" sz="1100"/>
            <a:t>#### Mercy (Optional)</a:t>
          </a:r>
        </a:p>
        <a:p>
          <a:r>
            <a:rPr lang="en-US" sz="1100"/>
            <a:t>After a battle is fought and casualties have been determined, the winner of the battle can choose to show mercy to,the loser. If so, this is declared before the loser's casualties have been subtracted. When mercy is shown, apply the following immediately:</a:t>
          </a:r>
        </a:p>
        <a:p>
          <a:r>
            <a:rPr lang="en-US" sz="1100"/>
            <a:t> 1. The loser's casualties are cut in half.</a:t>
          </a:r>
        </a:p>
        <a:p>
          <a:r>
            <a:rPr lang="en-US" sz="1100"/>
            <a:t> 2. All wounded may be recovered, even if the loser has been driven from the field.</a:t>
          </a:r>
        </a:p>
        <a:p>
          <a:r>
            <a:rPr lang="en-US" sz="1100"/>
            <a:t> 3. A + 2 bonus applies to all the loser's future reaction rolls involving the winner (including both leaders).</a:t>
          </a:r>
        </a:p>
        <a:p>
          <a:r>
            <a:rPr lang="en-US" sz="1100"/>
            <a:t> 4. If the loser fights the winner again within 1 year, a - 20 penalty applies to the loser's BR.</a:t>
          </a:r>
        </a:p>
        <a:p>
          <a:endParaRPr lang="en-US" sz="1100"/>
        </a:p>
        <a:p>
          <a:endParaRPr lang="en-US" sz="1100"/>
        </a:p>
        <a:p>
          <a:endParaRPr lang="en-US" sz="1100"/>
        </a:p>
        <a:p>
          <a:r>
            <a:rPr lang="en-US" sz="1100"/>
            <a:t>```</a:t>
          </a:r>
        </a:p>
        <a:p>
          <a:r>
            <a:rPr lang="en-US" sz="1100"/>
            <a:t>```</a:t>
          </a:r>
        </a:p>
        <a:p>
          <a:endParaRPr lang="en-US" sz="1100"/>
        </a:p>
        <a:p>
          <a:r>
            <a:rPr lang="en-US" sz="1100"/>
            <a:t>&lt;div class='wide'&gt;</a:t>
          </a:r>
        </a:p>
        <a:p>
          <a:r>
            <a:rPr lang="en-US" sz="1100"/>
            <a:t>&amp;nbsp;</a:t>
          </a:r>
        </a:p>
        <a:p>
          <a:r>
            <a:rPr lang="en-US" sz="1100"/>
            <a:t>&lt;/div&gt;</a:t>
          </a:r>
        </a:p>
        <a:p>
          <a:endParaRPr lang="en-US" sz="1100"/>
        </a:p>
        <a:p>
          <a:r>
            <a:rPr lang="en-US" sz="1100"/>
            <a:t>&lt;div class='wide'&gt;</a:t>
          </a:r>
        </a:p>
        <a:p>
          <a:r>
            <a:rPr lang="en-US" sz="1100"/>
            <a:t>##### Tactics Table (Optional)</a:t>
          </a:r>
        </a:p>
        <a:p>
          <a:endParaRPr lang="en-US" sz="1100"/>
        </a:p>
        <a:p>
          <a:r>
            <a:rPr lang="en-US" sz="1100"/>
            <a:t>| Tastiness | Cookie Type |</a:t>
          </a:r>
        </a:p>
        <a:p>
          <a:r>
            <a:rPr lang="en-US" sz="1100"/>
            <a:t>|:-:|:-:|:-:|:----:|:----:|:----:|:----:|:----:|</a:t>
          </a:r>
        </a:p>
        <a:p>
          <a:r>
            <a:rPr lang="en-US" sz="1100"/>
            <a:t>|  |  |  |  | Side A |  |  |  |</a:t>
          </a:r>
        </a:p>
        <a:p>
          <a:r>
            <a:rPr lang="en-US" sz="1100"/>
            <a:t>|  |  | 1 | 2 | 3 | 4 | 5 | 6 |</a:t>
          </a:r>
        </a:p>
        <a:p>
          <a:r>
            <a:rPr lang="en-US" sz="1100"/>
            <a:t>|  | Side B | Charge | Attack | Envelop | Trap | Hold | Withdraw</a:t>
          </a:r>
        </a:p>
        <a:p>
          <a:r>
            <a:rPr lang="en-US" sz="1100"/>
            <a:t>| 1 | Charge | C2/C2 | -20/C2 | C1/+10 | +20/C2 | -25/C2 | C3/+20</a:t>
          </a:r>
        </a:p>
        <a:p>
          <a:r>
            <a:rPr lang="en-US" sz="1100"/>
            <a:t>| 2 | Attack | C2/-20 | C1/C1 | -10/C1 | +10/C1 | C-1/- | C2/+10</a:t>
          </a:r>
        </a:p>
        <a:p>
          <a:r>
            <a:rPr lang="en-US" sz="1100"/>
            <a:t>| 3 | Envelop | +10/C1 | C1/-10 | NE | -20/C-1 | C2/+20 | C-1/+10</a:t>
          </a:r>
        </a:p>
        <a:p>
          <a:r>
            <a:rPr lang="en-US" sz="1100"/>
            <a:t>| 4 | Trap | C2/+20 | C1/+10 | C-1/-20 | NE | C-1/-20 | C-1/C-1</a:t>
          </a:r>
        </a:p>
        <a:p>
          <a:r>
            <a:rPr lang="en-US" sz="1100"/>
            <a:t>| 5 | Hold | C2/-25 | -/C-1 | +20/C2 | -20/C-1 | NC | NC</a:t>
          </a:r>
        </a:p>
        <a:p>
          <a:r>
            <a:rPr lang="en-US" sz="1100"/>
            <a:t>| 6 | Withdraw | +20/C3 | +10/C2 | +10/C-1 | C-1/C-1 | NC | NC</a:t>
          </a:r>
        </a:p>
        <a:p>
          <a:r>
            <a:rPr lang="en-US" sz="1100"/>
            <a:t>|  |  | A/B | A/B | A/B | A/B | A/B | A/B</a:t>
          </a:r>
        </a:p>
        <a:p>
          <a:endParaRPr lang="en-US" sz="1100"/>
        </a:p>
        <a:p>
          <a:r>
            <a:rPr lang="en-US" sz="1100"/>
            <a:t>&lt;/div&gt;</a:t>
          </a:r>
        </a:p>
        <a:p>
          <a:endParaRPr lang="en-US" sz="1100"/>
        </a:p>
        <a:p>
          <a:endParaRPr lang="en-US" sz="1100"/>
        </a:p>
        <a:p>
          <a:endParaRPr lang="en-US" sz="1100"/>
        </a:p>
        <a:p>
          <a:r>
            <a:rPr lang="en-US" sz="1100"/>
            <a:t>#### Tactics (Optional)</a:t>
          </a:r>
        </a:p>
        <a:p>
          <a:r>
            <a:rPr lang="en-US" sz="1100"/>
            <a:t>A good leader will select a plan before committing troops to battle. The success of this plan depends on the opponent's plan.</a:t>
          </a:r>
        </a:p>
        <a:p>
          <a:endParaRPr lang="en-US" sz="1100"/>
        </a:p>
        <a:p>
          <a:r>
            <a:rPr lang="en-US" sz="1100"/>
            <a:t>Each commander (player) chooses a tactic from the Tactics Table. To indicate the choice, place a 6-sided die on the table before you, with the number of your plan facing up. Cover it with one hand until your opponent has also made a choice; then reveal both choices at the same time. Use the Tactics Table to find the results. (Remember that the die is placed to reflect the player's choice; it is not tolled randomly. Written choices can also be used.)</a:t>
          </a:r>
        </a:p>
        <a:p>
          <a:endParaRPr lang="en-US" sz="1100"/>
        </a:p>
        <a:p>
          <a:r>
            <a:rPr lang="en-US" sz="1100"/>
            <a:t>If the result gives only one effect (NE or NC), that effect is applied to both sides in the battle. If the result is two effects (separated by a slash), the result on the left applies to the "Side A," and the result on the right to "Side B." There is no advantage to being either A or B.</a:t>
          </a:r>
        </a:p>
        <a:p>
          <a:endParaRPr lang="en-US" sz="1100"/>
        </a:p>
        <a:p>
          <a:r>
            <a:rPr lang="en-US" sz="1100"/>
            <a:t>If more than one force per side is involved in the battle, you can either choose one tactic per side to make things simpler, or you can decide on one tactic per force, in which case they must all be written in advance (the dwarves will hold in the centre while the centaur cavalry will envelop and flank the orcs).</a:t>
          </a:r>
        </a:p>
        <a:p>
          <a:endParaRPr lang="en-US" sz="1100"/>
        </a:p>
        <a:p>
          <a:r>
            <a:rPr lang="en-US" sz="1100"/>
            <a:t>##### Explanations</a:t>
          </a:r>
        </a:p>
        <a:p>
          <a:r>
            <a:rPr lang="en-US" sz="1100"/>
            <a:t>* Charge = forceful attack to overrun</a:t>
          </a:r>
        </a:p>
        <a:p>
          <a:r>
            <a:rPr lang="en-US" sz="1100"/>
            <a:t>* Attack = close and combat</a:t>
          </a:r>
        </a:p>
        <a:p>
          <a:r>
            <a:rPr lang="en-US" sz="1100"/>
            <a:t>* Envelop = attempt to encircle foe</a:t>
          </a:r>
        </a:p>
        <a:p>
          <a:r>
            <a:rPr lang="en-US" sz="1100"/>
            <a:t>* Trap = lure foe to an ambush</a:t>
          </a:r>
        </a:p>
        <a:p>
          <a:r>
            <a:rPr lang="en-US" sz="1100"/>
            <a:t>* Hold = stand fast at all costs</a:t>
          </a:r>
        </a:p>
        <a:p>
          <a:r>
            <a:rPr lang="en-US" sz="1100"/>
            <a:t>* Withdraw = retreat rather than fight</a:t>
          </a:r>
        </a:p>
        <a:p>
          <a:endParaRPr lang="en-US" sz="1100"/>
        </a:p>
        <a:p>
          <a:r>
            <a:rPr lang="en-US" sz="1100"/>
            <a:t>&lt;div class='pageNumber auto'&gt;&lt;/div&gt;</a:t>
          </a:r>
        </a:p>
        <a:p>
          <a:r>
            <a:rPr lang="en-US" sz="1100"/>
            <a:t>\page</a:t>
          </a:r>
        </a:p>
        <a:p>
          <a:endParaRPr lang="en-US" sz="1100"/>
        </a:p>
        <a:p>
          <a:r>
            <a:rPr lang="en-US" sz="1100"/>
            <a:t>##### Results</a:t>
          </a:r>
        </a:p>
        <a:p>
          <a:r>
            <a:rPr lang="en-US" sz="1100"/>
            <a:t>* C1, C2, C3: Casualties are increased by 10%, 20%, or 30%.</a:t>
          </a:r>
        </a:p>
        <a:p>
          <a:r>
            <a:rPr lang="en-US" sz="1100"/>
            <a:t>* C-1: Casualties are decreased by 10%.</a:t>
          </a:r>
        </a:p>
        <a:p>
          <a:r>
            <a:rPr lang="en-US" sz="1100"/>
            <a:t>* \+ 10, + 25, etc.: Add this number to the force's BR.</a:t>
          </a:r>
        </a:p>
        <a:p>
          <a:r>
            <a:rPr lang="en-US" sz="1100"/>
            <a:t>* \- 10, - 25, etc.: Subtract this number from the force's BR.</a:t>
          </a:r>
        </a:p>
        <a:p>
          <a:r>
            <a:rPr lang="en-US" sz="1100"/>
            <a:t>* NE: The plans cancel, with no effect on the battle.</a:t>
          </a:r>
        </a:p>
        <a:p>
          <a:r>
            <a:rPr lang="en-US" sz="1100"/>
            <a:t>* NC: No combat occurs; no losses are inflicted.</a:t>
          </a:r>
        </a:p>
        <a:p>
          <a:endParaRPr lang="en-US" sz="1100"/>
        </a:p>
        <a:p>
          <a:endParaRPr lang="en-US" sz="1100"/>
        </a:p>
        <a:p>
          <a:r>
            <a:rPr lang="en-US" sz="1100"/>
            <a:t>## Results</a:t>
          </a:r>
        </a:p>
        <a:p>
          <a:r>
            <a:rPr lang="en-US" sz="1100"/>
            <a:t>	Then the BR is modified as described above, each player rolls d% and adds the modified BR to the result. The total is the combat result. The player with the highest combat result wins.</a:t>
          </a:r>
        </a:p>
        <a:p>
          <a:endParaRPr lang="en-US" sz="1100"/>
        </a:p>
        <a:p>
          <a:r>
            <a:rPr lang="en-US" sz="1100"/>
            <a:t>Applying Combat Results</a:t>
          </a:r>
        </a:p>
        <a:p>
          <a:r>
            <a:rPr lang="en-US" sz="1100"/>
            <a:t>	When the winner and loser have been identified, determine the effects of the battle (killed, wanded, fatigued, etc.) as follows:</a:t>
          </a:r>
        </a:p>
        <a:p>
          <a:r>
            <a:rPr lang="en-US" sz="1100"/>
            <a:t>	Substract the loser's combat result from the winner's result. Find this difference in the left- hand column of the War Machine Combat Results Table. Apply the resulting casualties, fatigue, and location to both the winning (W) and losing (L) troops, as noted.</a:t>
          </a:r>
        </a:p>
        <a:p>
          <a:endParaRPr lang="en-US" sz="1100"/>
        </a:p>
        <a:p>
          <a:r>
            <a:rPr lang="en-US" sz="1100"/>
            <a:t>	Casualties: When subtracting casualties, consider half of them as dead and the other half wounded. When a force contains mixed troops (such as trolls and goblins), the casualties may be split as evenly as possible between them. If force retreats from the field, treat all wounded killed. If a force holds the field after the battle those wounded troops can return to action 1d4 months.</a:t>
          </a:r>
        </a:p>
        <a:p>
          <a:endParaRPr lang="en-US" sz="1100"/>
        </a:p>
        <a:p>
          <a:r>
            <a:rPr lang="en-US" sz="1100"/>
            <a:t>	Fatigue: Troops will remain fatigued for 1 days. "Seriously fatigued" troops become " moderately fatigued" in 1d4 days, and we have their strength restored after another 1 days.</a:t>
          </a:r>
        </a:p>
        <a:p>
          <a:endParaRPr lang="en-US" sz="1100"/>
        </a:p>
        <a:p>
          <a:r>
            <a:rPr lang="en-US" sz="1100"/>
            <a:t>	Terrain units: This term represents whatever measure of distance is most appropriate. On hex or square grid map, this is one hex or square If no unit of measure seems obvious, use 1 mile If multiple forces fight and 1 or more forces of each side holds the field, another round of battle may be fought between them. If some of a player's forces have routed or retreated, any that remain may choose to retreat to avoid fighting another battle.</a:t>
          </a:r>
        </a:p>
        <a:p>
          <a:endParaRPr lang="en-US" sz="1100"/>
        </a:p>
        <a:p>
          <a:r>
            <a:rPr lang="en-US" sz="1100"/>
            <a:t>	If all of the enemy forces have left the terrain unit occupied by your forces, a day of battle ends. No more fighting occurs until the next day (if applicable).</a:t>
          </a:r>
        </a:p>
        <a:p>
          <a:endParaRPr lang="en-US" sz="1100"/>
        </a:p>
        <a:p>
          <a:r>
            <a:rPr lang="en-US" sz="1100"/>
            <a:t>War Machine Combat Results Table</a:t>
          </a:r>
        </a:p>
        <a:p>
          <a:r>
            <a:rPr lang="en-US" sz="1100"/>
            <a:t>Difference	Casualties	Fatigue		Location</a:t>
          </a:r>
        </a:p>
        <a:p>
          <a:r>
            <a:rPr lang="en-US" sz="1100"/>
            <a:t>W	L	W	L	W	L</a:t>
          </a:r>
        </a:p>
        <a:p>
          <a:r>
            <a:rPr lang="en-US" sz="1100"/>
            <a:t>1-8		0	10%	N	N	F	R</a:t>
          </a:r>
        </a:p>
        <a:p>
          <a:r>
            <a:rPr lang="en-US" sz="1100"/>
            <a:t> 9-15		0	20%	N	N	F	R</a:t>
          </a:r>
        </a:p>
        <a:p>
          <a:r>
            <a:rPr lang="en-US" sz="1100"/>
            <a:t>16-24		10%	20%	N	M	F	R</a:t>
          </a:r>
        </a:p>
        <a:p>
          <a:r>
            <a:rPr lang="en-US" sz="1100"/>
            <a:t>25-30		10%	30%	N	M	F	R+1</a:t>
          </a:r>
        </a:p>
        <a:p>
          <a:r>
            <a:rPr lang="en-US" sz="1100"/>
            <a:t>31-38		20%	40%	M	S	R	R</a:t>
          </a:r>
        </a:p>
        <a:p>
          <a:r>
            <a:rPr lang="en-US" sz="1100"/>
            <a:t>39-50		0%	30%	N	S	F	R+2</a:t>
          </a:r>
        </a:p>
        <a:p>
          <a:r>
            <a:rPr lang="en-US" sz="1100"/>
            <a:t>51-63		20%	50%	M	S	F+1	R+3</a:t>
          </a:r>
        </a:p>
        <a:p>
          <a:r>
            <a:rPr lang="en-US" sz="1100"/>
            <a:t>64-80		30%	60%	M	S	F+1	R+3</a:t>
          </a:r>
        </a:p>
        <a:p>
          <a:r>
            <a:rPr lang="en-US" sz="1100"/>
            <a:t>81-90		10%	50%	N	S	F+3	R+2</a:t>
          </a:r>
        </a:p>
        <a:p>
          <a:r>
            <a:rPr lang="en-US" sz="1100"/>
            <a:t>91-100		0%	30%	N	Rout	F+3	Rout</a:t>
          </a:r>
        </a:p>
        <a:p>
          <a:r>
            <a:rPr lang="en-US" sz="1100"/>
            <a:t>101-120	20%	70%	N	Rout	F+3	Rout</a:t>
          </a:r>
        </a:p>
        <a:p>
          <a:r>
            <a:rPr lang="en-US" sz="1100"/>
            <a:t>121-150	10%	70%	N	Rout	F+3	Rout</a:t>
          </a:r>
        </a:p>
        <a:p>
          <a:r>
            <a:rPr lang="en-US" sz="1100"/>
            <a:t>151 +		10%	100%	N	-	F+5	-</a:t>
          </a:r>
        </a:p>
        <a:p>
          <a:endParaRPr lang="en-US" sz="1100"/>
        </a:p>
        <a:p>
          <a:r>
            <a:rPr lang="en-US" sz="1100"/>
            <a:t>Explanations</a:t>
          </a:r>
        </a:p>
        <a:p>
          <a:r>
            <a:rPr lang="en-US" sz="1100"/>
            <a:t>•	W:	Winner</a:t>
          </a:r>
        </a:p>
        <a:p>
          <a:r>
            <a:rPr lang="en-US" sz="1100"/>
            <a:t>•	L:	Loser</a:t>
          </a:r>
        </a:p>
        <a:p>
          <a:r>
            <a:rPr lang="en-US" sz="1100"/>
            <a:t>•	#%:	The percent of the force killed and wounded. Round fractions up.</a:t>
          </a:r>
        </a:p>
        <a:p>
          <a:r>
            <a:rPr lang="en-US" sz="1100"/>
            <a:t>•	N:	The force is not fatigued.</a:t>
          </a:r>
        </a:p>
        <a:p>
          <a:r>
            <a:rPr lang="en-US" sz="1100"/>
            <a:t>•	M:	The force is moderately fatigued.</a:t>
          </a:r>
        </a:p>
        <a:p>
          <a:r>
            <a:rPr lang="en-US" sz="1100"/>
            <a:t>•	S:	The force is seriously fatigued</a:t>
          </a:r>
        </a:p>
        <a:p>
          <a:r>
            <a:rPr lang="en-US" sz="1100"/>
            <a:t>•	F:	The force holds the battlefield after the battle.</a:t>
          </a:r>
        </a:p>
        <a:p>
          <a:r>
            <a:rPr lang="en-US" sz="1100"/>
            <a:t>•	R:	The force must retreat from the field.</a:t>
          </a:r>
        </a:p>
        <a:p>
          <a:r>
            <a:rPr lang="en-US" sz="1100"/>
            <a:t>•	R+	The force must retreat that number of terrain units.</a:t>
          </a:r>
        </a:p>
        <a:p>
          <a:r>
            <a:rPr lang="en-US" sz="1100"/>
            <a:t>•	F+	The force can advance that number of terrain units.</a:t>
          </a:r>
        </a:p>
        <a:p>
          <a:r>
            <a:rPr lang="en-US" sz="1100"/>
            <a:t>•	Rout	The force ceases to exist as such. Survivors will appear at home 1d10 weeks later.</a:t>
          </a:r>
        </a:p>
        <a:p>
          <a:r>
            <a:rPr lang="en-US" sz="1100"/>
            <a:t>Sieges</a:t>
          </a:r>
        </a:p>
        <a:p>
          <a:endParaRPr lang="en-US" sz="1100"/>
        </a:p>
        <a:p>
          <a:r>
            <a:rPr lang="en-US" sz="1100"/>
            <a:t>	Extensive siege rules are provided later in this chapter. For simple sieges, here are simpler rules</a:t>
          </a:r>
        </a:p>
        <a:p>
          <a:endParaRPr lang="en-US" sz="1100"/>
        </a:p>
        <a:p>
          <a:r>
            <a:rPr lang="en-US" sz="1100"/>
            <a:t>	A force located inside a fortified structure (walled town, castle, stronghold, etc.) may attacked by another force, but has a superior position. This is called a "siege." The force within the structure is the defender. If the defender comes out of the structure, unmodified War Machine rules should be used. If the defender remains within the structure, a siege results; use these following additional rules.</a:t>
          </a:r>
        </a:p>
        <a:p>
          <a:endParaRPr lang="en-US" sz="1100"/>
        </a:p>
        <a:p>
          <a:r>
            <a:rPr lang="en-US" sz="1100"/>
            <a:t>	The defender gets the following benefits:</a:t>
          </a:r>
        </a:p>
        <a:p>
          <a:r>
            <a:rPr lang="en-US" sz="1100"/>
            <a:t>1.	When calculating the troop ratio, multiply the number of defending troops by 4.</a:t>
          </a:r>
        </a:p>
        <a:p>
          <a:r>
            <a:rPr lang="en-US" sz="1100"/>
            <a:t>2.	Combat Results of "Retreat" or "Rout" are ignored by the defender.</a:t>
          </a:r>
        </a:p>
        <a:p>
          <a:r>
            <a:rPr lang="en-US" sz="1100"/>
            <a:t>3.	All defender casualties are reduced by half.</a:t>
          </a:r>
        </a:p>
        <a:p>
          <a:endParaRPr lang="en-US" sz="1100"/>
        </a:p>
        <a:p>
          <a:r>
            <a:rPr lang="en-US" sz="1100"/>
            <a:t>The attacker has the following options:</a:t>
          </a:r>
        </a:p>
        <a:p>
          <a:r>
            <a:rPr lang="en-US" sz="1100"/>
            <a:t>1.	The attacker can attack normally, using the above rules, and suffering because the defender is so well emplaced, or</a:t>
          </a:r>
        </a:p>
        <a:p>
          <a:r>
            <a:rPr lang="en-US" sz="1100"/>
            <a:t>2.	The attacker can "besiege" the defender, the attacker surrounds the defenders, keeping them within the structure. This adds +5 to the attacker's BR for each week of the siege. (This represents the building of siege engines, and mining to weaken the defender's position.)</a:t>
          </a:r>
        </a:p>
        <a:p>
          <a:endParaRPr lang="en-US" sz="1100"/>
        </a:p>
        <a:p>
          <a:r>
            <a:rPr lang="en-US" sz="1100"/>
            <a:t>Special	 Note: Some forces have clerics available to magically create food and water. If a sieged defender does not have a cleric, the DM should keep a record of the defenders' food supplies. After these are exhausted, the defender loses 10% of its numbers (not rating points) per week until the siege ends.</a:t>
          </a:r>
        </a:p>
        <a:p>
          <a:endParaRPr lang="en-US" sz="1100"/>
        </a:p>
        <a:p>
          <a:endParaRPr lang="en-US" sz="1100"/>
        </a:p>
        <a:p>
          <a:r>
            <a:rPr lang="en-US" sz="1100"/>
            <a:t>Other Notes</a:t>
          </a:r>
        </a:p>
        <a:p>
          <a:r>
            <a:rPr lang="en-US" sz="1100"/>
            <a:t>	A normal game session can be played in combination with the War Machine, using the system to determine overall results while focusing the game on the actions of the characters. The shift from role playing to mass combat situations (and back) can be accomplished easily with these guidelines:</a:t>
          </a:r>
        </a:p>
        <a:p>
          <a:r>
            <a:rPr lang="en-US" sz="1100"/>
            <a:t>	1. Damage to PCs: PCs (and major NPCS) are never killed as a result of a War Machine battle. They can be scattered and separated (DM's option) , but any attempts to actually damage the characters should be handled in normal game sessions.</a:t>
          </a:r>
        </a:p>
        <a:p>
          <a:r>
            <a:rPr lang="en-US" sz="1100"/>
            <a:t>	2. PC items and spells: If a normal adventure played, then only the spells and magical item charges actually used are lost. If no adventure is played, determine whether the PC is on the winning or losing side. If on the losing side, all combat spells and two-thirds of the charges in all offensive and defensive magical items are used. If on the winning side, one-third of the applicable magical item charges are used, and the PC keeps 1 combat spell uncast.</a:t>
          </a:r>
        </a:p>
        <a:p>
          <a:r>
            <a:rPr lang="en-US" sz="1100"/>
            <a:t>	3. Experience Points: Experience points are earned both for commanding a force and for performing heroics. If a PC leads a force, find the +M number of troops in the enemy force. If the PC wins the battle, the PC gets that number of experience points. The PC gets one-third of that number if the battle is lost.</a:t>
          </a:r>
        </a:p>
        <a:p>
          <a:r>
            <a:rPr lang="en-US" sz="1100"/>
            <a:t>	4. Magical Items: A staff of health or rod of victory can affect a battle and its aftermath, as follows:</a:t>
          </a:r>
        </a:p>
        <a:p>
          <a:r>
            <a:rPr lang="en-US" sz="1100"/>
            <a:t>	Staff of Health: If the user holds the field after e force a battle, up to 500 wounded can be immediately restored to full strength.</a:t>
          </a:r>
        </a:p>
        <a:p>
          <a:r>
            <a:rPr lang="en-US" sz="1100"/>
            <a:t>	Rod of Victory: Add a + 25 bonus to the combat roll (to a maximum roll of 100). If the holder loses the battle by a difference of greater than 100, use the "91-100" combat results.</a:t>
          </a:r>
        </a:p>
        <a:p>
          <a:endParaRPr lang="en-US" sz="1100"/>
        </a:p>
        <a:p>
          <a:r>
            <a:rPr lang="en-US" sz="1100"/>
            <a:t>Group Movement</a:t>
          </a:r>
        </a:p>
        <a:p>
          <a:r>
            <a:rPr lang="en-US" sz="1100"/>
            <a:t>		The following guidelines should be used when moving forces:</a:t>
          </a:r>
        </a:p>
        <a:p>
          <a:endParaRPr lang="en-US" sz="1100"/>
        </a:p>
        <a:p>
          <a:r>
            <a:rPr lang="en-US" sz="1100"/>
            <a:t>Scale</a:t>
          </a:r>
        </a:p>
        <a:p>
          <a:r>
            <a:rPr lang="en-US" sz="1100"/>
            <a:t>	The scales for time and distance can vary by the size of a force and the distance involved. The standard 24-mile map hex can be used when large forces move over large distances. When opposing forces draw near each other, one move per day is recommended. DMs should try to prepare a detailed map of the area when this occurs.</a:t>
          </a:r>
        </a:p>
        <a:p>
          <a:endParaRPr lang="en-US" sz="1100"/>
        </a:p>
        <a:p>
          <a:r>
            <a:rPr lang="en-US" sz="1100"/>
            <a:t>Movement Rate</a:t>
          </a:r>
        </a:p>
        <a:p>
          <a:r>
            <a:rPr lang="en-US" sz="1100"/>
            <a:t>	Up to 50 troops can move together at their base movement rate. When more troops are involved, travel slows. Remember that a movement rate is based on the speed of the slowest member of any group.</a:t>
          </a:r>
        </a:p>
        <a:p>
          <a:r>
            <a:rPr lang="en-US" sz="1100"/>
            <a:t>	51-100 troops move at two-thirds their usual rate.</a:t>
          </a:r>
        </a:p>
        <a:p>
          <a:r>
            <a:rPr lang="en-US" sz="1100"/>
            <a:t>	101 or more troops move at half the usual rate</a:t>
          </a:r>
        </a:p>
        <a:p>
          <a:endParaRPr lang="en-US" sz="1100"/>
        </a:p>
        <a:p>
          <a:r>
            <a:rPr lang="en-US" sz="1100"/>
            <a:t>	Movement rates for wilderness travel are discussed in Chapter 6. If you are using a hex map to regulate movement, these rates can easily be applied to the scale of the map. The DM may include a bonus or penalty for easy or rugged terrain, but most situations are covered in the War Machine.</a:t>
          </a:r>
        </a:p>
        <a:p>
          <a:endParaRPr lang="en-US" sz="1100"/>
        </a:p>
        <a:p>
          <a:r>
            <a:rPr lang="en-US" sz="1100"/>
            <a:t>Food</a:t>
          </a:r>
        </a:p>
        <a:p>
          <a:r>
            <a:rPr lang="en-US" sz="1100"/>
            <a:t>	If a force is carrying food supplies, either on wagons or on individuals, keep track of the supplies. Remember to consider encumbrance when calculating the movement rate.</a:t>
          </a:r>
        </a:p>
        <a:p>
          <a:r>
            <a:rPr lang="en-US" sz="1100"/>
            <a:t>	If a force forages for food, modify the basic rule (see page 89) as follows. The force leader can choose to slow movement to two-thirds the normal rate, with a 2 in 6 chance of finding enough food or may slow movement to one-third normal, for a 4 in 6 chance of success. Terrain can modify the chances by +1 or -1 at the DM's discretion.</a:t>
          </a:r>
        </a:p>
        <a:p>
          <a:r>
            <a:rPr lang="en-US" sz="1100"/>
            <a:t>	Without supplies, a force can travel for one day without penalty. After a second day, the force becomes "moderately fatigued." After a third day, the force is "seriously fatigued." A seriously fatigued force cannot move. One day's supply of food removes all of this fatigue (either moderate or serious), but does not affect fatigue caused as a combat result.</a:t>
          </a:r>
        </a:p>
        <a:p>
          <a:endParaRPr lang="en-US" sz="1100"/>
        </a:p>
        <a:p>
          <a:r>
            <a:rPr lang="en-US" sz="1100"/>
            <a:t>	Forced March</a:t>
          </a:r>
        </a:p>
        <a:p>
          <a:r>
            <a:rPr lang="en-US" sz="1100"/>
            <a:t>	A force can attempt a forced march to increase its movement rate, but this might not be successful. If it is attempted, find the troop class, roll 1d6, and consult the following table. A force that is "seriously fatigued" cannot attempt a forced march.</a:t>
          </a:r>
        </a:p>
        <a:p>
          <a:endParaRPr lang="en-US" sz="1100"/>
        </a:p>
        <a:p>
          <a:r>
            <a:rPr lang="en-US" sz="1100"/>
            <a:t>Maneuvering</a:t>
          </a:r>
        </a:p>
        <a:p>
          <a:r>
            <a:rPr lang="en-US" sz="1100"/>
            <a:t>	When the forces of two opposing sides begin to move, the order of movement becomes important. This order is resolved with an initiative roll at the beginning of each time unit. Dexterity adjustments do not apply to this roll.</a:t>
          </a:r>
        </a:p>
        <a:p>
          <a:r>
            <a:rPr lang="en-US" sz="1100"/>
            <a:t>	The player or side with initiative decides whether to move first, of to force the opponent to move first. The player of side chosen moves all of its forces, marking the movement on the map if one is being used. The remaining side then moves. After all movement is complete, forces that are in contact can engage in combat.</a:t>
          </a:r>
        </a:p>
        <a:p>
          <a:r>
            <a:rPr lang="en-US" sz="1100"/>
            <a:t>	If a map is being used, two armies come into contact whenever they enter the same hex, square, or space. Each force must either stop or allow the opponent to attack with the "on the march" adjustment ( + 30).</a:t>
          </a:r>
        </a:p>
        <a:p>
          <a:r>
            <a:rPr lang="en-US" sz="1100"/>
            <a:t>	If no map is being used, the same effect occurs whenever two forces come within one mile of each other. If either of the forces has at least 5,000 troops, the range for contact is five miles</a:t>
          </a:r>
        </a:p>
        <a:p>
          <a:r>
            <a:rPr lang="en-US" sz="1100"/>
            <a:t>	Once the forces are in contact, neither force can leave the area without allowing the enemy to attack with the "on the march" modifier unless:</a:t>
          </a:r>
        </a:p>
        <a:p>
          <a:endParaRPr lang="en-US" sz="1100"/>
        </a:p>
        <a:p>
          <a:r>
            <a:rPr lang="en-US" sz="1100"/>
            <a:t>	a. The loser of a battle is required to retreat farther than the winner can pursue, as indicated by the War Machine Combat Results Table. For example, the F/R+1 and the F+1/R+3 results allow the loser to break contact with the foe; the F/R and F+3/R+2 results do not.</a:t>
          </a:r>
        </a:p>
        <a:p>
          <a:endParaRPr lang="en-US" sz="1100"/>
        </a:p>
        <a:p>
          <a:r>
            <a:rPr lang="en-US" sz="1100"/>
            <a:t>Forced Marches Table</a:t>
          </a:r>
        </a:p>
        <a:p>
          <a:r>
            <a:rPr lang="en-US" sz="1100"/>
            <a:t>								Die Roll Troop Class	1 2	3	4	5	6 Untrained	F F+M F+S M	M	M Poor		F F+M F+S N	N	M Below Average F F+M F+M F+S M	M Fair		F F+M F+M F+M N	N Average		F F	F+M F+M N	M Good		F F	F+M F+M N	N Excellent	F F	F	F	F+M N Elite		F F	F	F	F+M F+M</a:t>
          </a:r>
        </a:p>
        <a:p>
          <a:endParaRPr lang="en-US" sz="1100"/>
        </a:p>
        <a:p>
          <a:r>
            <a:rPr lang="en-US" sz="1100"/>
            <a:t>	F: Forced march successful; add 50% to day's movement</a:t>
          </a:r>
        </a:p>
        <a:p>
          <a:r>
            <a:rPr lang="en-US" sz="1100"/>
            <a:t>	M: Force is moderately fatigued*</a:t>
          </a:r>
        </a:p>
        <a:p>
          <a:r>
            <a:rPr lang="en-US" sz="1100"/>
            <a:t>	S: Force is seriously fatigued</a:t>
          </a:r>
        </a:p>
        <a:p>
          <a:r>
            <a:rPr lang="en-US" sz="1100"/>
            <a:t>	N: No forced march, no fatigue</a:t>
          </a:r>
        </a:p>
        <a:p>
          <a:r>
            <a:rPr lang="en-US" sz="1100"/>
            <a:t>	* If force is already moderately fatigued, it becomes seriously fatigued with this result.</a:t>
          </a:r>
        </a:p>
        <a:p>
          <a:r>
            <a:rPr lang="en-US" sz="1100"/>
            <a:t>	All results are cumulative; "F+S" indicates that the forced march is successful, but that the force is seriously fatigued afterward.</a:t>
          </a:r>
        </a:p>
        <a:p>
          <a:endParaRPr lang="en-US" sz="1100"/>
        </a:p>
        <a:p>
          <a:r>
            <a:rPr lang="en-US" sz="1100"/>
            <a:t>									121  </a:t>
          </a:r>
        </a:p>
        <a:p>
          <a:r>
            <a:rPr lang="en-US" sz="1100"/>
            <a:t> Combat</a:t>
          </a:r>
        </a:p>
        <a:p>
          <a:endParaRPr lang="en-US" sz="1100"/>
        </a:p>
        <a:p>
          <a:r>
            <a:rPr lang="en-US" sz="1100"/>
            <a:t>	b. If one player chooses the "Withdraw" tactic, and the other player chooses anything except the "Attack+ " tactic, the player who chose "Withdraw" may remove his force one terrain unit after the combat is resolved. Retreat results are added to this move if required. A withdrawing unit cannot occupy the field of pursue an opponent, even if the combat result allows this.</a:t>
          </a:r>
        </a:p>
        <a:p>
          <a:endParaRPr lang="en-US" sz="1100"/>
        </a:p>
        <a:p>
          <a:r>
            <a:rPr lang="en-US" sz="1100"/>
            <a:t>	Order of Events in the War Machine</a:t>
          </a:r>
        </a:p>
        <a:p>
          <a:endParaRPr lang="en-US" sz="1100"/>
        </a:p>
        <a:p>
          <a:r>
            <a:rPr lang="en-US" sz="1100"/>
            <a:t>	War Machine Checklist</a:t>
          </a:r>
        </a:p>
        <a:p>
          <a:endParaRPr lang="en-US" sz="1100"/>
        </a:p>
        <a:p>
          <a:r>
            <a:rPr lang="en-US" sz="1100"/>
            <a:t>	A. When Troops Are Acquitted:</a:t>
          </a:r>
        </a:p>
        <a:p>
          <a:r>
            <a:rPr lang="en-US" sz="1100"/>
            <a:t>	1. Divide the troops into separate forces or armies, or decide that they will be one large force.</a:t>
          </a:r>
        </a:p>
        <a:p>
          <a:r>
            <a:rPr lang="en-US" sz="1100"/>
            <a:t>	2. Determine the basic force rating (BFR) for each force.</a:t>
          </a:r>
        </a:p>
        <a:p>
          <a:r>
            <a:rPr lang="en-US" sz="1100"/>
            <a:t>	3. Determine the troop class for each force.</a:t>
          </a:r>
        </a:p>
        <a:p>
          <a:r>
            <a:rPr lang="en-US" sz="1100"/>
            <a:t>	4. Determine the battle rating (BR) for each force.</a:t>
          </a:r>
        </a:p>
        <a:p>
          <a:r>
            <a:rPr lang="en-US" sz="1100"/>
            <a:t>	B. When Troops Are Moved:</a:t>
          </a:r>
        </a:p>
        <a:p>
          <a:r>
            <a:rPr lang="en-US" sz="1100"/>
            <a:t>	1. Determine the movement rate of each force.</a:t>
          </a:r>
        </a:p>
        <a:p>
          <a:r>
            <a:rPr lang="en-US" sz="1100"/>
            <a:t>	2. Determine a map and time scale (terrain units and time units).</a:t>
          </a:r>
        </a:p>
        <a:p>
          <a:r>
            <a:rPr lang="en-US" sz="1100"/>
            <a:t>	3. Roll for initiative. The winner decides which side moves first.</a:t>
          </a:r>
        </a:p>
        <a:p>
          <a:r>
            <a:rPr lang="en-US" sz="1100"/>
            <a:t>	4. The forces of one side are moved as far as they will travel during one time unit (usually a day or week).</a:t>
          </a:r>
        </a:p>
        <a:p>
          <a:r>
            <a:rPr lang="en-US" sz="1100"/>
            <a:t>	Any forces that must break contact to move can be immediately attacked "on the march." After the battle, they can move normally unless they received an "R + " or "Rout" combat result.</a:t>
          </a:r>
        </a:p>
        <a:p>
          <a:r>
            <a:rPr lang="en-US" sz="1100"/>
            <a:t>	5. The forces of the other side are moved as far as they will travel during this time unit. ("On the march" attacks are resolved as given above.)</a:t>
          </a:r>
        </a:p>
        <a:p>
          <a:r>
            <a:rPr lang="en-US" sz="1100"/>
            <a:t>	6. The side with initiative can declare that it is attacking in any and all terrain units where the forces of two sides are in contact. (Resolve with Combat Order of Events.)</a:t>
          </a:r>
        </a:p>
        <a:p>
          <a:r>
            <a:rPr lang="en-US" sz="1100"/>
            <a:t>	7. The side without initiative may attack (as per Step 6; resolve with Combat Order of Events).</a:t>
          </a:r>
        </a:p>
        <a:p>
          <a:r>
            <a:rPr lang="en-US" sz="1100"/>
            <a:t>	C. When Troops Fight (Combat Order of Events):</a:t>
          </a:r>
        </a:p>
        <a:p>
          <a:r>
            <a:rPr lang="en-US" sz="1100"/>
            <a:t>	1. Modify each side's BR as given.</a:t>
          </a:r>
        </a:p>
        <a:p>
          <a:r>
            <a:rPr lang="en-US" sz="1100"/>
            <a:t>	2. Modify each side's BR for any campaign considerations.</a:t>
          </a:r>
        </a:p>
        <a:p>
          <a:r>
            <a:rPr lang="en-US" sz="1100"/>
            <a:t>	3. If the optional tactics are used, choose tactics.</a:t>
          </a:r>
        </a:p>
        <a:p>
          <a:r>
            <a:rPr lang="en-US" sz="1100"/>
            <a:t>	4. Roll d% for each side; add the modified BR to the roll.</a:t>
          </a:r>
        </a:p>
        <a:p>
          <a:r>
            <a:rPr lang="en-US" sz="1100"/>
            <a:t>	5 .Use the War Machine Combat Results Table to find the results, and apply them (modified by tactics, if used).</a:t>
          </a:r>
        </a:p>
        <a:p>
          <a:endParaRPr lang="en-US" sz="1100"/>
        </a:p>
        <a:p>
          <a:r>
            <a:rPr lang="en-US" sz="1100"/>
            <a:t>The Siege Machine</a:t>
          </a:r>
        </a:p>
        <a:p>
          <a:endParaRPr lang="en-US" sz="1100"/>
        </a:p>
        <a:p>
          <a:r>
            <a:rPr lang="en-US" sz="1100"/>
            <a:t>	A siege situation is one where an army tries to capture a fortified structure held by another army. When, in the course of a normal D&amp;De game, a siege situation crops up, the players and the DM must decide how they want to resolve it. There are three methods:</a:t>
          </a:r>
        </a:p>
        <a:p>
          <a:r>
            <a:rPr lang="en-US" sz="1100"/>
            <a:t>	1. Play a normal game based on the siege.</a:t>
          </a:r>
        </a:p>
        <a:p>
          <a:r>
            <a:rPr lang="en-US" sz="1100"/>
            <a:t>	2. Use the basic War Machine system.</a:t>
          </a:r>
        </a:p>
        <a:p>
          <a:r>
            <a:rPr lang="en-US" sz="1100"/>
            <a:t>	3. Use the Siege Machine.</a:t>
          </a:r>
        </a:p>
        <a:p>
          <a:endParaRPr lang="en-US" sz="1100"/>
        </a:p>
        <a:p>
          <a:r>
            <a:rPr lang="en-US" sz="1100"/>
            <a:t>	Play a Normal Game: Each player should review the section on siege equipment from Chapter 4. The siege will probably be a long exercise unless the characters have additional things to do during the siege, of unless the characters have some means to defeat the enemy force in relatively short order.</a:t>
          </a:r>
        </a:p>
        <a:p>
          <a:r>
            <a:rPr lang="en-US" sz="1100"/>
            <a:t>	Use the Basic War Machine: The basic War Machine rules provide simple modifiers for fortifications used in a combat, as described earlier this chapter.</a:t>
          </a:r>
        </a:p>
        <a:p>
          <a:r>
            <a:rPr lang="en-US" sz="1100"/>
            <a:t>		Use the Siege Machine: In this section, we'll describe the Siege Machine rules.</a:t>
          </a:r>
        </a:p>
        <a:p>
          <a:endParaRPr lang="en-US" sz="1100"/>
        </a:p>
        <a:p>
          <a:r>
            <a:rPr lang="en-US" sz="1100"/>
            <a:t>What the Siege Machine Is</a:t>
          </a:r>
        </a:p>
        <a:p>
          <a:endParaRPr lang="en-US" sz="1100"/>
        </a:p>
        <a:p>
          <a:r>
            <a:rPr lang="en-US" sz="1100"/>
            <a:t>	The Siege Machine is a set of expanded War Machine rules for assaults on fortifications. Before using these rules, each player should have detailed information on the following subjects:</a:t>
          </a:r>
        </a:p>
        <a:p>
          <a:r>
            <a:rPr lang="en-US" sz="1100"/>
            <a:t>	* The War Machine system, described earlier this chapter.</a:t>
          </a:r>
        </a:p>
        <a:p>
          <a:r>
            <a:rPr lang="en-US" sz="1100"/>
            <a:t>	* The troops involved (including leaders, normal equipment, and other details needed for the War Machine).</a:t>
          </a:r>
        </a:p>
        <a:p>
          <a:r>
            <a:rPr lang="en-US" sz="1100"/>
            <a:t>	* The defenders' fortification (including thickness and length of walls, height of other constructions, etc.).</a:t>
          </a:r>
        </a:p>
        <a:p>
          <a:r>
            <a:rPr lang="en-US" sz="1100"/>
            <a:t>	* The siege equipment used by both sides, and the number of crewmen operating each (see Chapter 4 for rules on siege equipment).</a:t>
          </a:r>
        </a:p>
        <a:p>
          <a:r>
            <a:rPr lang="en-US" sz="1100"/>
            <a:t>	* The exact monthly cost of mercenary troops hired to fight with the force (see Chapter 11 for information on mercenaries).</a:t>
          </a:r>
        </a:p>
        <a:p>
          <a:r>
            <a:rPr lang="en-US" sz="1100"/>
            <a:t>	* The exact levels of all clerics in or with each force.</a:t>
          </a:r>
        </a:p>
        <a:p>
          <a:r>
            <a:rPr lang="en-US" sz="1100"/>
            <a:t>	* The exact number of full rations available (see "Sustenance," below).</a:t>
          </a:r>
        </a:p>
        <a:p>
          <a:r>
            <a:rPr lang="en-US" sz="1100"/>
            <a:t>	The Siege Machine is played out in turns of one week, also known as siege turns. When the forces within the defensive structure sally forth to attack the besieging force, combat is played out under normal War Machine rules.</a:t>
          </a:r>
        </a:p>
        <a:p>
          <a:endParaRPr lang="en-US" sz="1100"/>
        </a:p>
        <a:p>
          <a:r>
            <a:rPr lang="en-US" sz="1100"/>
            <a:t>Siege Options</a:t>
          </a:r>
        </a:p>
        <a:p>
          <a:endParaRPr lang="en-US" sz="1100"/>
        </a:p>
        <a:p>
          <a:r>
            <a:rPr lang="en-US" sz="1100"/>
            <a:t>Attacker's Siege Options</a:t>
          </a:r>
        </a:p>
        <a:p>
          <a:r>
            <a:rPr lang="en-US" sz="1100"/>
            <a:t>	1. Depart: The attacking forces leave the battle completely. No further combat occurs.</a:t>
          </a:r>
        </a:p>
        <a:p>
          <a:r>
            <a:rPr lang="en-US" sz="1100"/>
            <a:t>	2. Bombard: The attackers maintain a position distant from the fortification but within range of the smallest artillery used. Artillery and ballista fire is the only possible form of combat; no melee or missile fire occurs.</a:t>
          </a:r>
        </a:p>
        <a:p>
          <a:r>
            <a:rPr lang="en-US" sz="1100"/>
            <a:t>	3. Harass: The attacking force encamps near the fortification. Some siege equipment may be used, but not ail (see "Siege Preparations"). The attacking force is within range of missile fire. Combat is intermittent, in any form except melee.</a:t>
          </a:r>
        </a:p>
        <a:p>
          <a:r>
            <a:rPr lang="en-US" sz="1100"/>
            <a:t>	4. Assault: The attacking force uses all available siege equipment and attacks forcefully, trying to penetrate the fortification. The attack force gains a bonus of + 5 % (not merely</a:t>
          </a:r>
        </a:p>
        <a:p>
          <a:endParaRPr lang="en-US" sz="1100"/>
        </a:p>
        <a:p>
          <a:r>
            <a:rPr lang="en-US" sz="1100"/>
            <a:t>							122</a:t>
          </a:r>
        </a:p>
        <a:p>
          <a:endParaRPr lang="en-US" sz="1100"/>
        </a:p>
        <a:p>
          <a:r>
            <a:rPr lang="en-US" sz="1100"/>
            <a:t> </a:t>
          </a:r>
        </a:p>
        <a:p>
          <a:r>
            <a:rPr lang="en-US" sz="1100"/>
            <a:t>																										Chapter 9: Mass Combat</a:t>
          </a:r>
        </a:p>
        <a:p>
          <a:endParaRPr lang="en-US" sz="1100"/>
        </a:p>
        <a:p>
          <a:endParaRPr lang="en-US" sz="1100"/>
        </a:p>
        <a:p>
          <a:r>
            <a:rPr lang="en-US" sz="1100"/>
            <a:t>	+ 5) to its BR, but the defenders' casualties are decreased by 5 % (effects identical to the standard tactics). The combat turn is otherwise run normally. Combat is primarily melee, with some missile fire but usually no artillery fire.</a:t>
          </a:r>
        </a:p>
        <a:p>
          <a:endParaRPr lang="en-US" sz="1100"/>
        </a:p>
        <a:p>
          <a:r>
            <a:rPr lang="en-US" sz="1100"/>
            <a:t>		Defender's Siege Options</a:t>
          </a:r>
        </a:p>
        <a:p>
          <a:r>
            <a:rPr lang="en-US" sz="1100"/>
            <a:t>	The defender can at any time choose to leave the fortress to make an assault. If an avenue of escape exists, the defenders may choose to depart. If they remain within the fortification, the defenders harass. Defenders can not bombard the attackers.</a:t>
          </a:r>
        </a:p>
        <a:p>
          <a:r>
            <a:rPr lang="en-US" sz="1100"/>
            <a:t>	If the defenders make an assault, they lose all fortification bonuses but may choose the time of attack (day or night) and gain a + 10% (not + 10) bonus to their BR (rounded up), which represents a degree of surprise. Combat is otherwise run normally, using the War Machine Combat Results Table (not applying siege modifications). Standard modification for normal tactics are used, but the (former) attacker may choose a new tactic and is not bound by the siege tactic currently being used. (The number of defenders is no longer multiplied by 4.)</a:t>
          </a:r>
        </a:p>
        <a:p>
          <a:r>
            <a:rPr lang="en-US" sz="1100"/>
            <a:t>	If the fortification has a secret exit (possibly underground), the defenders can depart unnoticed. If 10% of the defending force is left to maintain the appearance of strength, the departure of the main force can remain undiscovered for some time, varying by the attacker's current tactic. If the attackers are harassing, the departure becomes apparent one to four hours after dawn. If the attackers are bombarding, the departure will not be noticed. If the attackers are assaulting, the departure is discovered after one turn. The defenders' smaller force may, however, be detected by special squads (see below).</a:t>
          </a:r>
        </a:p>
        <a:p>
          <a:r>
            <a:rPr lang="en-US" sz="1100"/>
            <a:t>	If the defenders' fortification is not surrounded, the defending forces can depart by normal means. If this takes place visibly and during daylight, the attackers gain immediate knowledge and can attack according to normal War Machine rules. If the departure takes place under cover of darkness or invisibility, the defenders can move up to one full terrain unit away from the attackers.</a:t>
          </a:r>
        </a:p>
        <a:p>
          <a:r>
            <a:rPr lang="en-US" sz="1100"/>
            <a:t>	If the defenders depart, the attackers may pursue, occupy the fortification, or do both (by splitting their force). Artillery cannot be moved fast enough to pursue a fleeing force.</a:t>
          </a:r>
        </a:p>
        <a:p>
          <a:endParaRPr lang="en-US" sz="1100"/>
        </a:p>
        <a:p>
          <a:r>
            <a:rPr lang="en-US" sz="1100"/>
            <a:t>		Siege Preparations</a:t>
          </a:r>
        </a:p>
        <a:p>
          <a:endParaRPr lang="en-US" sz="1100"/>
        </a:p>
        <a:p>
          <a:r>
            <a:rPr lang="en-US" sz="1100"/>
            <a:t>	Before commencing a siege, the DM and players need to make the following preparations:</a:t>
          </a:r>
        </a:p>
        <a:p>
          <a:r>
            <a:rPr lang="en-US" sz="1100"/>
            <a:t>	1. Find costs for each side: Each player needs to find out the weekly payroll, food and water supplies (sustenance), and ammunition costs of his entire force. Review the detailed notes given for each topic at the end of this section. Each player notes the amount of money, rations, and ammunition he has on hand at the start of the siege.</a:t>
          </a:r>
        </a:p>
        <a:p>
          <a:r>
            <a:rPr lang="en-US" sz="1100"/>
            <a:t>	2. Find BFR, troop mass, and BR for each force: Each player privately calculates these details, using the standard War Machine rules.</a:t>
          </a:r>
        </a:p>
        <a:p>
          <a:r>
            <a:rPr lang="en-US" sz="1100"/>
            <a:t>	3. List and compare siege details: The defending player makes a list of the weapon, buildings, moat, and other parts of his fortification, plus all unconcealed siege weapons in use. The attacker lists all the unconcealed siege equipment of the attacking force. (See "Concealed Information" for further details.) The lists should not include BR values. When finished, the players trade lists, and both players can make notes if desired. At the DM's option, reinforcements can arrive later to aid either the defenders of attackers. In this case, the player receiving the reinforcements should make a second list and re-compute costs, BFR, troop class, and BR bonuses.</a:t>
          </a:r>
        </a:p>
        <a:p>
          <a:r>
            <a:rPr lang="en-US" sz="1100"/>
            <a:t>	4. Calculate total BR bonuses: Both players take back their own lists and privately note the BR bonuses for each item while adding concealed equipment information. The BR bonuses for most siege weapons vary by the number of crew per weapon. The exact number of crew per machine should be noted, along with the BR bonus, to avoid errors.</a:t>
          </a:r>
        </a:p>
        <a:p>
          <a:r>
            <a:rPr lang="en-US" sz="1100"/>
            <a:t>	5a. Defender finds total BR score and siege weapon bonuses: The defending player adds the total defense bonus to the original BR score of the force to find the total modified BR. (The score is not revealed at this time.) Additional bonuses for siege weapons will vary by the tactics used by the attacker, but can be calculated at this time as follows:</a:t>
          </a:r>
        </a:p>
        <a:p>
          <a:r>
            <a:rPr lang="en-US" sz="1100"/>
            <a:t>	Attacker Bombards: Attacker adds all the bonuses for artillery (catapult and trebuchet), plus half the bonuses for ballista.</a:t>
          </a:r>
        </a:p>
        <a:p>
          <a:r>
            <a:rPr lang="en-US" sz="1100"/>
            <a:t>	Attacker Harasses: Attacker adds double the bonuses for artillery, and adds the full bonuses for ballistas.</a:t>
          </a:r>
        </a:p>
        <a:p>
          <a:r>
            <a:rPr lang="en-US" sz="1100"/>
            <a:t>	Attacker Assaults: Attacker adds no value for artillery but adds double the bonus for ballistas.</a:t>
          </a:r>
        </a:p>
        <a:p>
          <a:r>
            <a:rPr lang="en-US" sz="1100"/>
            <a:t>	5b.Attacker calculates BR bonus for each tactic: The attacking player privately calculates the siege equipment bonuses that will apply to each tactic chosen, as follows:</a:t>
          </a:r>
        </a:p>
        <a:p>
          <a:r>
            <a:rPr lang="en-US" sz="1100"/>
            <a:t>	Bombard: All artillery bonuses apply, plus half the ballista bonuses.</a:t>
          </a:r>
        </a:p>
        <a:p>
          <a:r>
            <a:rPr lang="en-US" sz="1100"/>
            <a:t>	Harass: Bonuses for ballistas, timber fort, and mantlet apply. Some or all artillery bonuses can apply, if the attacker decides to use artillery despite possible casualties to the crew.</a:t>
          </a:r>
        </a:p>
        <a:p>
          <a:r>
            <a:rPr lang="en-US" sz="1100"/>
            <a:t>	Assault: All miscellaneous equipment bonuses apply, plus double ballista bonuses. Artillery bonuses may apply, if the attacker decides to use artillery despite the possible casualties.</a:t>
          </a:r>
        </a:p>
        <a:p>
          <a:endParaRPr lang="en-US" sz="1100"/>
        </a:p>
        <a:p>
          <a:r>
            <a:rPr lang="en-US" sz="1100"/>
            <a:t>	Order of Events in Siege Machine</a:t>
          </a:r>
        </a:p>
        <a:p>
          <a:r>
            <a:rPr lang="en-US" sz="1100"/>
            <a:t>	Once all preparations are made, you can conduct siege combat. Each game week (i.e., each siege turn), follow this sequence of events:</a:t>
          </a:r>
        </a:p>
        <a:p>
          <a:endParaRPr lang="en-US" sz="1100"/>
        </a:p>
        <a:p>
          <a:r>
            <a:rPr lang="en-US" sz="1100"/>
            <a:t>	1.Deduct costs for the battle week: Ignore this step for the first battle of the siege. Apply it to the second and subsequent battle rolls. If the defending force chooses to harass, siege combat continues unless the attacker departs. Each player deducts costs for the turn as follows:</a:t>
          </a:r>
        </a:p>
        <a:p>
          <a:r>
            <a:rPr lang="en-US" sz="1100"/>
            <a:t>	a. Payments: Cash payments to mercenary troops (one week's payroll) are deducted from each side's total money.</a:t>
          </a:r>
        </a:p>
        <a:p>
          <a:r>
            <a:rPr lang="en-US" sz="1100"/>
            <a:t>	b. Sustenance: Each side deducts one week's food and water from its current stores for all troops not fed by clerical spells.</a:t>
          </a:r>
        </a:p>
        <a:p>
          <a:r>
            <a:rPr lang="en-US" sz="1100"/>
            <a:t>	c. Ammunition: Each side deducts one week's amount of ammunition from each siege weapon's total. Both sides can add ammunition gained by gathering (see "Siege Accounting").</a:t>
          </a:r>
        </a:p>
        <a:p>
          <a:r>
            <a:rPr lang="en-US" sz="1100"/>
            <a:t>	d. Dominion Costs: If the end of a month occurs at the end of a battle week, each side makes appropriate adjustments to their dominion treasuries, deducting normal costs and adding normal income. However, a ruler under siege cannot receive dominion income. If a secondary ruler has been previously designated, the dominion accounting continues normally.</a:t>
          </a:r>
        </a:p>
        <a:p>
          <a:r>
            <a:rPr lang="en-US" sz="1100"/>
            <a:t>	2 . Modify BR for field of battle: The battle modifications for troop ratio, morale, environment, immunities, a-nd fatigue should be done openly (but without revealing the starting BR). Some bonuses for terrain also apply (but see Terrain, below). Remember that when calculating the troop ratio, the number of troops defending a fortification is multiplied by four. Fatigue automatically lasts for one week instead of 1d4 days.</a:t>
          </a:r>
        </a:p>
        <a:p>
          <a:r>
            <a:rPr lang="en-US" sz="1100"/>
            <a:t>	Terrain: In the War Machine, some terrain bonuses apply to the defender only. Ignore the following normal bonuses; they are replaced by the more detailed defense bonus for the fortification, as calculated in the "Siege Preparations" section: defending in place, defending behind a wall, force is in stronghold</a:t>
          </a:r>
        </a:p>
        <a:p>
          <a:r>
            <a:rPr lang="en-US" sz="1100"/>
            <a:t>	3. Choose tactics: Each player chooses one siege tactic (as detailed in#5 below). Possible tactics are depart, bombard, harass, and assault. Though optional in the War Machine, tactic are required for the Siege Machine. Defenders may not bombard.</a:t>
          </a:r>
        </a:p>
        <a:p>
          <a:r>
            <a:rPr lang="en-US" sz="1100"/>
            <a:t>	4. Reveal tactics and modify BR for siege equipment: The tactic used by the attacker is revealed first. If the bombard tactic is used, the defender's tactic is not revealed and he use the bombard bonuses only. Each player find the BR bonus that applies (based on the tactics used) and adds the bonus to the BR of the force.</a:t>
          </a:r>
        </a:p>
        <a:p>
          <a:r>
            <a:rPr lang="en-US" sz="1100"/>
            <a:t>	5. Find and apply results: The details for this procedure vary by the attacker's tactic, as follows. Bombard: The attacking player adds the BR bonus gained for artillery and ballists. He then rolls 1d10 to determine casualties inflicted on the defending forces. The resulting roll is read as a percentage (10%, 20%, 30%, etc.) of the BR rating equaling the High Dice of casualties inflicted on the defenders The defender follows the same procedure, but rolls 2d10.</a:t>
          </a:r>
        </a:p>
        <a:p>
          <a:r>
            <a:rPr lang="en-US" sz="1100"/>
            <a:t>	For example, the attacker has 85 BR point of artillery and the defender has 40. The attacker rolls a 5, causing 421/2 Et Dice of casualties (50% of 85). The defender rolls 11, causing 44 Hit Dice of casualties (110 of 40).</a:t>
          </a:r>
        </a:p>
        <a:p>
          <a:r>
            <a:rPr lang="en-US" sz="1100"/>
            <a:t>	Harass: Each player rolls d %, and adds th result to the BR of the force. The player with the higher total wins this found of the siege Subtract the lower total from the higher, and refer to the War Machine Combat Results Table to find the resulting casualties and fatigue. (Up to this point, the procedure identical to that of the War Machine.) Modify the results as follows:</a:t>
          </a:r>
        </a:p>
        <a:p>
          <a:endParaRPr lang="en-US" sz="1100"/>
        </a:p>
        <a:p>
          <a:r>
            <a:rPr lang="en-US" sz="1100"/>
            <a:t> </a:t>
          </a:r>
        </a:p>
        <a:p>
          <a:endParaRPr lang="en-US" sz="1100"/>
        </a:p>
        <a:p>
          <a:r>
            <a:rPr lang="en-US" sz="1100"/>
            <a:t>	Siege Machine Weapons Table</a:t>
          </a:r>
        </a:p>
        <a:p>
          <a:r>
            <a:rPr lang="en-US" sz="1100"/>
            <a:t>	Weapon		Enc (cn)	AC hp	Crew Range</a:t>
          </a:r>
        </a:p>
        <a:p>
          <a:r>
            <a:rPr lang="en-US" sz="1100"/>
            <a:t>	Ballista			6,000*	4 9	4	100/200/300 (Min: NA)</a:t>
          </a:r>
        </a:p>
        <a:p>
          <a:r>
            <a:rPr lang="en-US" sz="1100"/>
            <a:t>	Catapult, Light	12,000*	4 18	6	200/250/300 (Min: 150)</a:t>
          </a:r>
        </a:p>
        <a:p>
          <a:r>
            <a:rPr lang="en-US" sz="1100"/>
            <a:t>	Catapult, Heavy	18,000*	0 27	8	250/325/400 (Min: 175)</a:t>
          </a:r>
        </a:p>
        <a:p>
          <a:r>
            <a:rPr lang="en-US" sz="1100"/>
            <a:t>	Trebuchet		24,000*	0 36	12	250/400/500 (Min: 100)</a:t>
          </a:r>
        </a:p>
        <a:p>
          <a:r>
            <a:rPr lang="en-US" sz="1100"/>
            <a:t>	Bore				3,000	-4 50	10	-</a:t>
          </a:r>
        </a:p>
        <a:p>
          <a:r>
            <a:rPr lang="en-US" sz="1100"/>
            <a:t>	Ram, Battering	3,000	-4 50	10	-</a:t>
          </a:r>
        </a:p>
        <a:p>
          <a:r>
            <a:rPr lang="en-US" sz="1100"/>
            <a:t>	</a:t>
          </a:r>
        </a:p>
        <a:p>
          <a:r>
            <a:rPr lang="en-US" sz="1100"/>
            <a:t>	Weapon			Damage			Rate	BR+ Cost/Wk.</a:t>
          </a:r>
        </a:p>
        <a:p>
          <a:r>
            <a:rPr lang="en-US" sz="1100"/>
            <a:t>	Ballista			d10+6			1 per 2 +2 2,000</a:t>
          </a:r>
        </a:p>
        <a:p>
          <a:r>
            <a:rPr lang="en-US" sz="1100"/>
            <a:t>	Catapult, Light	d8+8				1 per 5 +4 4,000</a:t>
          </a:r>
        </a:p>
        <a:p>
          <a:r>
            <a:rPr lang="en-US" sz="1100"/>
            <a:t>	Catapult, Heavy	d10+10			1 per 6 +8 6,000</a:t>
          </a:r>
        </a:p>
        <a:p>
          <a:r>
            <a:rPr lang="en-US" sz="1100"/>
            <a:t>	Trebuchet			1d12 +13			1 per 6 +12 8,000</a:t>
          </a:r>
        </a:p>
        <a:p>
          <a:r>
            <a:rPr lang="en-US" sz="1100"/>
            <a:t>	Bore				1d6 + 14		1 per 2 +4 -</a:t>
          </a:r>
        </a:p>
        <a:p>
          <a:r>
            <a:rPr lang="en-US" sz="1100"/>
            <a:t>	Ram, Battering	1d6+8			1 per 2 +4</a:t>
          </a:r>
        </a:p>
        <a:p>
          <a:r>
            <a:rPr lang="en-US" sz="1100"/>
            <a:t>	</a:t>
          </a:r>
        </a:p>
        <a:p>
          <a:r>
            <a:rPr lang="en-US" sz="1100"/>
            <a:t>	</a:t>
          </a:r>
        </a:p>
        <a:p>
          <a:r>
            <a:rPr lang="en-US" sz="1100"/>
            <a:t>	* These weapons may have wheels attached and be towed. Towing encumbrance is the listed encumbrance; thus a horse pulling a mantlet on wheels is pulling only 400 cn.</a:t>
          </a:r>
        </a:p>
        <a:p>
          <a:endParaRPr lang="en-US" sz="1100"/>
        </a:p>
        <a:p>
          <a:r>
            <a:rPr lang="en-US" sz="1100"/>
            <a:t>	Miscellaneous Siege Machine Equipment Table</a:t>
          </a:r>
        </a:p>
        <a:p>
          <a:r>
            <a:rPr lang="en-US" sz="1100"/>
            <a:t>									Standard</a:t>
          </a:r>
        </a:p>
        <a:p>
          <a:r>
            <a:rPr lang="en-US" sz="1100"/>
            <a:t>	Type		Cost				Size		Enc (cn)</a:t>
          </a:r>
        </a:p>
        <a:p>
          <a:r>
            <a:rPr lang="en-US" sz="1100"/>
            <a:t>	Belfry	25 gp/ft height 30' tall	250,000*</a:t>
          </a:r>
        </a:p>
        <a:p>
          <a:r>
            <a:rPr lang="en-US" sz="1100"/>
            <a:t>	Gallery Shed 15 gp/ft length 10'x10'x20'	8,000*</a:t>
          </a:r>
        </a:p>
        <a:p>
          <a:r>
            <a:rPr lang="en-US" sz="1100"/>
            <a:t>	Hoistt		5 gp/ft height 30' tall		12,000*</a:t>
          </a:r>
        </a:p>
        <a:p>
          <a:r>
            <a:rPr lang="en-US" sz="1100"/>
            <a:t>	Ladder		1 gp/10' height 30' tall		900</a:t>
          </a:r>
        </a:p>
        <a:p>
          <a:r>
            <a:rPr lang="en-US" sz="1100"/>
            <a:t>	Mantlet	2 gp/ft length	8' long		4,800*</a:t>
          </a:r>
        </a:p>
        <a:p>
          <a:r>
            <a:rPr lang="en-US" sz="1100"/>
            <a:t>	Timber Fort 4 gp/ft length	8' long		7,200*</a:t>
          </a:r>
        </a:p>
        <a:p>
          <a:endParaRPr lang="en-US" sz="1100"/>
        </a:p>
        <a:p>
          <a:r>
            <a:rPr lang="en-US" sz="1100"/>
            <a:t>	</a:t>
          </a:r>
        </a:p>
        <a:p>
          <a:r>
            <a:rPr lang="en-US" sz="1100"/>
            <a:t>	Type		AC AC+	HP	BR+</a:t>
          </a:r>
        </a:p>
        <a:p>
          <a:r>
            <a:rPr lang="en-US" sz="1100"/>
            <a:t>	Belfry		0 -8	75	+ 10**</a:t>
          </a:r>
        </a:p>
        <a:p>
          <a:r>
            <a:rPr lang="en-US" sz="1100"/>
            <a:t>	Gallery Shed	4 -12	40	Doubles values of bore or ram</a:t>
          </a:r>
        </a:p>
        <a:p>
          <a:r>
            <a:rPr lang="en-US" sz="1100"/>
            <a:t>	Hoistt		4	0	15	+4** (+2 with Belfry)</a:t>
          </a:r>
        </a:p>
        <a:p>
          <a:r>
            <a:rPr lang="en-US" sz="1100"/>
            <a:t>	Ladder		4	0	3	+2** (+2 with Belfry)</a:t>
          </a:r>
        </a:p>
        <a:p>
          <a:r>
            <a:rPr lang="en-US" sz="1100"/>
            <a:t>	Mantlet		0 -4	16	+2 - (A) + 3 + (H)</a:t>
          </a:r>
        </a:p>
        <a:p>
          <a:r>
            <a:rPr lang="en-US" sz="1100"/>
            <a:t>	Timber Fort	0 -8	32	+4 + (A) + 6 + (H)</a:t>
          </a:r>
        </a:p>
        <a:p>
          <a:r>
            <a:rPr lang="en-US" sz="1100"/>
            <a:t>			</a:t>
          </a:r>
        </a:p>
        <a:p>
          <a:r>
            <a:rPr lang="en-US" sz="1100"/>
            <a:t>			</a:t>
          </a:r>
        </a:p>
        <a:p>
          <a:r>
            <a:rPr lang="en-US" sz="1100"/>
            <a:t>			</a:t>
          </a:r>
        </a:p>
        <a:p>
          <a:r>
            <a:rPr lang="en-US" sz="1100"/>
            <a:t>	* These weapons may have wheels attached and be towed. Towing encumbrance is the listed encumbrance; thus a horse pulling a mantlet on wheels is pulling only 400 cn.</a:t>
          </a:r>
        </a:p>
        <a:p>
          <a:r>
            <a:rPr lang="en-US" sz="1100"/>
            <a:t>	** All bonuses require that there be 1 piece per 1,000 men in the force.</a:t>
          </a:r>
        </a:p>
        <a:p>
          <a:r>
            <a:rPr lang="en-US" sz="1100"/>
            <a:t>	t The hoist's usefulness depends on the number of crew used. One man can be lifted 10 feet per round per crewman used. Up to six crewmen may be used to operate the device. For every additional man lifted, to a maximum of four men, subtract 10 feet per round. All bonuses require that there be 1 piece per 100 men in the force. (Greater numbers can multiply the BR bonus up to 5 X maximum.)</a:t>
          </a:r>
        </a:p>
        <a:p>
          <a:endParaRPr lang="en-US" sz="1100"/>
        </a:p>
        <a:p>
          <a:r>
            <a:rPr lang="en-US" sz="1100"/>
            <a:t>	a. All casualties are only one-tenth of normal (drop the last zero in all cases).</a:t>
          </a:r>
        </a:p>
        <a:p>
          <a:r>
            <a:rPr lang="en-US" sz="1100"/>
            <a:t>	b. Both attackers and defenders ignore location changes; a "Rout" or "-" result for fatigue is treated as "S."</a:t>
          </a:r>
        </a:p>
        <a:p>
          <a:r>
            <a:rPr lang="en-US" sz="1100"/>
            <a:t>	c. Defender casualties are half the final percent. If artillery is used, calculate casualties as for bombard.</a:t>
          </a:r>
        </a:p>
        <a:p>
          <a:r>
            <a:rPr lang="en-US" sz="1100"/>
            <a:t>	Assault: The procedure used for assault is identical to that for harass, but with the following modifications:</a:t>
          </a:r>
        </a:p>
        <a:p>
          <a:r>
            <a:rPr lang="en-US" sz="1100"/>
            <a:t>	a. Casualties are half of normal.</a:t>
          </a:r>
        </a:p>
        <a:p>
          <a:r>
            <a:rPr lang="en-US" sz="1100"/>
            <a:t>	b. A "Rout" or "-" result indicates that the losers are driven back. If the defenders lose, they are driven out of the fortification. If the attackers lose, they are forced back to a bombarding position.</a:t>
          </a:r>
        </a:p>
        <a:p>
          <a:r>
            <a:rPr lang="en-US" sz="1100"/>
            <a:t>	c. Defender casualties are half the final percent. If artillery is used, follow the bombard procedure.</a:t>
          </a:r>
        </a:p>
        <a:p>
          <a:endParaRPr lang="en-US" sz="1100"/>
        </a:p>
        <a:p>
          <a:r>
            <a:rPr lang="en-US" sz="1100"/>
            <a:t>Casualties</a:t>
          </a:r>
        </a:p>
        <a:p>
          <a:endParaRPr lang="en-US" sz="1100"/>
        </a:p>
        <a:p>
          <a:r>
            <a:rPr lang="en-US" sz="1100"/>
            <a:t>	Casualties resulting from harass or assault tactics are applied normally. Casualties from artillery bombardment are determined separately, as explained above under bombard.</a:t>
          </a:r>
        </a:p>
        <a:p>
          <a:r>
            <a:rPr lang="en-US" sz="1100"/>
            <a:t>	The casualties from the attacker's artillery may affect both sides, depending on the tactics used by the attacker.</a:t>
          </a:r>
        </a:p>
        <a:p>
          <a:endParaRPr lang="en-US" sz="1100"/>
        </a:p>
        <a:p>
          <a:r>
            <a:rPr lang="en-US" sz="1100"/>
            <a:t>Bombard		100%	defenders	0%	attackers Harass		80%	defenders	20%	attackers Assault		60%	defenders	40%	attackers</a:t>
          </a:r>
        </a:p>
        <a:p>
          <a:endParaRPr lang="en-US" sz="1100"/>
        </a:p>
        <a:p>
          <a:r>
            <a:rPr lang="en-US" sz="1100"/>
            <a:t>	Divide the total Hit Dice of casualties by the average Hit Dice of the lowest level troops; the result is the actual number of casualties. As with normal casualties, consider half of them as dead and the other half as wounded. If the division is not even, do not round off; consider the fraction as one wounded casualty. The exact troops to which casualties are applied can be designated for more realism, but this is not required.</a:t>
          </a:r>
        </a:p>
        <a:p>
          <a:r>
            <a:rPr lang="en-US" sz="1100"/>
            <a:t>	Special Note: If artillery is used in a War Machine battle (involving no fortifications), double the number of casualties, and apply 100% to the enemy troops.</a:t>
          </a:r>
        </a:p>
        <a:p>
          <a:endParaRPr lang="en-US" sz="1100"/>
        </a:p>
        <a:p>
          <a:r>
            <a:rPr lang="en-US" sz="1100"/>
            <a:t>Other Details</a:t>
          </a:r>
        </a:p>
        <a:p>
          <a:r>
            <a:rPr lang="en-US" sz="1100"/>
            <a:t>	Concealed and False Information</a:t>
          </a:r>
        </a:p>
        <a:p>
          <a:r>
            <a:rPr lang="en-US" sz="1100"/>
            <a:t>	In Step 3 of "Siege Preparations," players make lists and compare siege details. Both players may conceal or exaggerate certain details.</a:t>
          </a:r>
        </a:p>
        <a:p>
          <a:r>
            <a:rPr lang="en-US" sz="1100"/>
            <a:t>	Fortification Details: The thickness and height of walls, towers, and belfries must be noted, but each player can claim a height or width up to 5 feet different from the actual amount.</a:t>
          </a:r>
        </a:p>
        <a:p>
          <a:r>
            <a:rPr lang="en-US" sz="1100"/>
            <a:t>	Visible Equipment: The attacker must reveal the exact and correct number of pieces of visible siege equipment used at the start of the battle. However, more equipment can be brought in later or can be concealed by large structures. The existence of such secret weapons is revealed as soon as they are used, when their bonuses to combat are applied.</a:t>
          </a:r>
        </a:p>
        <a:p>
          <a:r>
            <a:rPr lang="en-US" sz="1100"/>
            <a:t>	Invisible Equipment: Invisibility used by either side counts towards concealing weapons only if the enemy has no method of detecting invisible objects. If the enemy spots a team of mules pulling invisible siege equipment but cannot detect invisible, the attacker may identify the invisible siege weapon incorrectly.</a:t>
          </a:r>
        </a:p>
        <a:p>
          <a:endParaRPr lang="en-US" sz="1100"/>
        </a:p>
        <a:p>
          <a:r>
            <a:rPr lang="en-US" sz="1100"/>
            <a:t>	Siege Equipment</a:t>
          </a:r>
        </a:p>
        <a:p>
          <a:r>
            <a:rPr lang="en-US" sz="1100"/>
            <a:t>	Chapter 4 contains many details on siege weapons. Here, we'll show you the siege weapon tables again, but in these tables we'll give you the Siege Machine details of these weapons.</a:t>
          </a:r>
        </a:p>
        <a:p>
          <a:r>
            <a:rPr lang="en-US" sz="1100"/>
            <a:t>	These weapons require a crew of at least one- quarter the listed size to be usable. If a crew less than full, but greater than or equal to ham the listed number, the BR + and the Ammo Cost are half normal. If a crew is reduced below half but not below one-fourth, the Ammo Cost and BR+ are divided by four. Round all fractions down.	Siege Accounting and	Costs</a:t>
          </a:r>
        </a:p>
        <a:p>
          <a:r>
            <a:rPr lang="en-US" sz="1100"/>
            <a:t>	Ammunition: The missiles used by catapults, trebuchets, and ballistas must be accounted for in siege situations. Ammunition may be the largest single cost of the siege.</a:t>
          </a:r>
        </a:p>
        <a:p>
          <a:r>
            <a:rPr lang="en-US" sz="1100"/>
            <a:t>	Before the battle, each player notes the amount of ammunition available for each siege weapon. The weekly costs are given for each such weapon in the equipment details. Costs should be recorded so that one unit equals a week's worth of ammunition. Note that the costs are subtracted from a dominion treasury and may be considered part cash, part services.</a:t>
          </a:r>
        </a:p>
        <a:p>
          <a:r>
            <a:rPr lang="en-US" sz="1100"/>
            <a:t>	In Step 1 of each battle week, both players deduct ammunition to be used in the following turn (week), subtracting 1 (one week's worth) from the total for each siege weapon.</a:t>
          </a:r>
        </a:p>
        <a:p>
          <a:r>
            <a:rPr lang="en-US" sz="1100"/>
            <a:t>	Each player then adds a number to reflect ammunition gathered. Ballista ammunition can never be gathered or raised; all missed shots are broken and unusable. Artillery ammunition can be gathered and raised by each side. The detail vary for each side, as follows.</a:t>
          </a:r>
        </a:p>
        <a:p>
          <a:r>
            <a:rPr lang="en-US" sz="1100"/>
            <a:t>	The defending force can only gather a small amount of spent ammunition. The attacker must first reveal the total number of artillery pieces that fired in the previous week. The defender divides that total by 4; the result is the number of weeks of ammunition that the defenders can gather.</a:t>
          </a:r>
        </a:p>
        <a:p>
          <a:endParaRPr lang="en-US" sz="1100"/>
        </a:p>
        <a:p>
          <a:r>
            <a:rPr lang="en-US" sz="1100"/>
            <a:t>									124  </a:t>
          </a:r>
        </a:p>
        <a:p>
          <a:r>
            <a:rPr lang="en-US" sz="1100"/>
            <a:t>																										Chapter 9: Mass Combat,</a:t>
          </a:r>
        </a:p>
        <a:p>
          <a:endParaRPr lang="en-US" sz="1100"/>
        </a:p>
        <a:p>
          <a:r>
            <a:rPr lang="en-US" sz="1100"/>
            <a:t>	Clerics and the Create Food Spell Table	</a:t>
          </a:r>
        </a:p>
        <a:p>
          <a:r>
            <a:rPr lang="en-US" sz="1100"/>
            <a:t>	Lvl of Men per	Max	Lvl of Men per	Max</a:t>
          </a:r>
        </a:p>
        <a:p>
          <a:r>
            <a:rPr lang="en-US" sz="1100"/>
            <a:t>	Cleric	spell	Men	Cleric	spell	Men</a:t>
          </a:r>
        </a:p>
        <a:p>
          <a:r>
            <a:rPr lang="en-US" sz="1100"/>
            <a:t>	10		36		36	24		540	2,700</a:t>
          </a:r>
        </a:p>
        <a:p>
          <a:r>
            <a:rPr lang="en-US" sz="1100"/>
            <a:t>	11		72		144	25		576	2,880</a:t>
          </a:r>
        </a:p>
        <a:p>
          <a:r>
            <a:rPr lang="en-US" sz="1100"/>
            <a:t>	12	108		215	26		612	3,672</a:t>
          </a:r>
        </a:p>
        <a:p>
          <a:r>
            <a:rPr lang="en-US" sz="1100"/>
            <a:t>	13	144		288	27		648	3,888</a:t>
          </a:r>
        </a:p>
        <a:p>
          <a:r>
            <a:rPr lang="en-US" sz="1100"/>
            <a:t>	14	180		540	28		684	4,788</a:t>
          </a:r>
        </a:p>
        <a:p>
          <a:r>
            <a:rPr lang="en-US" sz="1100"/>
            <a:t>	15	216		648	29		720	5,040</a:t>
          </a:r>
        </a:p>
        <a:p>
          <a:r>
            <a:rPr lang="en-US" sz="1100"/>
            <a:t>	16	252	1,008	30		756	5,292</a:t>
          </a:r>
        </a:p>
        <a:p>
          <a:r>
            <a:rPr lang="en-US" sz="1100"/>
            <a:t>	17	288	1,152	31		792	6,336</a:t>
          </a:r>
        </a:p>
        <a:p>
          <a:r>
            <a:rPr lang="en-US" sz="1100"/>
            <a:t>	18	324	1,296	32		828	6,624</a:t>
          </a:r>
        </a:p>
        <a:p>
          <a:r>
            <a:rPr lang="en-US" sz="1100"/>
            <a:t>	19	360	1,440	33		864	6,912</a:t>
          </a:r>
        </a:p>
        <a:p>
          <a:r>
            <a:rPr lang="en-US" sz="1100"/>
            <a:t>	20	396	1,584	34		900	7,200</a:t>
          </a:r>
        </a:p>
        <a:p>
          <a:r>
            <a:rPr lang="en-US" sz="1100"/>
            <a:t>	21	432	2,160	35		936	8,424</a:t>
          </a:r>
        </a:p>
        <a:p>
          <a:r>
            <a:rPr lang="en-US" sz="1100"/>
            <a:t>	22	468	2,340	36		972	8,748</a:t>
          </a:r>
        </a:p>
        <a:p>
          <a:r>
            <a:rPr lang="en-US" sz="1100"/>
            <a:t>	23	504	2,520</a:t>
          </a:r>
        </a:p>
        <a:p>
          <a:endParaRPr lang="en-US" sz="1100"/>
        </a:p>
        <a:p>
          <a:r>
            <a:rPr lang="en-US" sz="1100"/>
            <a:t>	The defenders may also choose to destroy stone buildings and use the stone for ammunition. This can be done quickly by few men. Each stone building yields a number of units (weeks' worth) of ammunition equal to its BR value. However, the BR bonus for the building must be immediately deducted from the defender's original total.</a:t>
          </a:r>
        </a:p>
        <a:p>
          <a:r>
            <a:rPr lang="en-US" sz="1100"/>
            <a:t>	The attacking force can gather a much larger amount of spent artillery ammunition. Ammunition can only be collected from artillery used in the previous week. The amount varies by the tactic used in the current week. Bombard	Three-quarters of the weapons fired Harass	One-half of the weapons fired Assault	One-fourth of the weapons fired</a:t>
          </a:r>
        </a:p>
        <a:p>
          <a:endParaRPr lang="en-US" sz="1100"/>
        </a:p>
        <a:p>
          <a:r>
            <a:rPr lang="en-US" sz="1100"/>
            <a:t>	These figures assume that all available troops are employed in gathering ammunition. Troops so employed do not rest enough to offset fatigue, but do not suffer additional fatigue. If a commander allows the troops to rest to offset fatigue, the amount of ammunition gathered is half as much.</a:t>
          </a:r>
        </a:p>
        <a:p>
          <a:r>
            <a:rPr lang="en-US" sz="1100"/>
            <a:t>	If a missile weapon runs out of ammunition, it gives no further BR bonuses. If a weapon is left unused to save ammunition, its BR bonus is not counted for that week.</a:t>
          </a:r>
        </a:p>
        <a:p>
          <a:r>
            <a:rPr lang="en-US" sz="1100"/>
            <a:t>	Artillery shot can be used in any piece of artillery. For conversion, consider 6 units of light catapult ammunition as equal to 5 units of heavy catapult ammunition, or 4 units of trebuchet ammunition.</a:t>
          </a:r>
        </a:p>
        <a:p>
          <a:r>
            <a:rPr lang="en-US" sz="1100"/>
            <a:t>	Payroll: The standard mercenary payroll (see Chapter 11) is given in cost per month. Divide by four to find the cost per week.</a:t>
          </a:r>
        </a:p>
        <a:p>
          <a:r>
            <a:rPr lang="en-US" sz="1100"/>
            <a:t>	To be used for payroll, cash must be either kept at the siege site of delivered at regular intervals (either procedure requiring guards). Cash must be in a physical form suitable for individual payments; mercenaries cannot be expected to make change. Mercenaries may be given large sums as payment in advance of services, but t@is practice encourages desertion and often causes a drop in morale (due to gambling, theft, accidental loss, etc.).</a:t>
          </a:r>
        </a:p>
        <a:p>
          <a:r>
            <a:rPr lang="en-US" sz="1100"/>
            <a:t>	Sustenance: A standard ration serves one person for one week, but spoils if kept longer than a week. An iron ration also serves one person for a week, but spoils only if kept for eight weeks. One week's food and water for one person is called a full ration.</a:t>
          </a:r>
        </a:p>
        <a:p>
          <a:r>
            <a:rPr lang="en-US" sz="1100"/>
            <a:t>	The prices listed for food in Chapter 4 reflect the markups applied to food offered to adventurers or sold in taverns and inns. When feeding an army and buying food regularly in bulk, divide those listed food costs in half. This reduced price is not available to small parties of traveling adventurers.</a:t>
          </a:r>
        </a:p>
        <a:p>
          <a:r>
            <a:rPr lang="en-US" sz="1100"/>
            <a:t>	The limiting factor for clerical assistance is the 5th level create food spell. Much more water than food can be produced, by the 4th level create water spell. The following table gives the number of men fed by one create food spell ("Men per Spell" column) and the total number of men a cleric can sustain if all available spells are used to do so ("Max Men" column). The cleric must provide food daily; none can be stored as the magically-created food spoils within 24 hours.</a:t>
          </a:r>
        </a:p>
        <a:p>
          <a:r>
            <a:rPr lang="en-US" sz="1100"/>
            <a:t>	Some forces have insufficient numbers or levels of clerics to sustain them, and some have no clerics at all. Anyone not receiving full rations becomes fatigued: moderate fatigue after one week of less than proper feeding, serious fatigue after another week, becoming weak (losing 50% of BR) after a third week. Morale drops 2 points for each week of less than normal feeding. Troops not fed at all will desert or rebel after only 1-3 days of such treatment.</a:t>
          </a:r>
        </a:p>
        <a:p>
          <a:r>
            <a:rPr lang="en-US" sz="1100"/>
            <a:t>	Horses and other mounts of similar size require double normal (human) rations. Underfeeding brings the same penalties as for troops; if not fed,. the mounts may flee, attack their owners, or simply weaken and die (in 4-9 days).</a:t>
          </a:r>
        </a:p>
        <a:p>
          <a:r>
            <a:rPr lang="en-US" sz="1100"/>
            <a:t>	Foraging and hunting are virtually useless for armies. Any force of 100 or more troops can quickly gather every available food source in an area in only a day, providing food for one week at most, and often less.</a:t>
          </a:r>
        </a:p>
        <a:p>
          <a:r>
            <a:rPr lang="en-US" sz="1100"/>
            <a:t>	In Step 1 of each week of siege combat, both players deduct the full rations to be used in the coming week. If less than full rations are issued, fatigue and morale changes are applied immediately. Rations are not deducted for troops supplied by clerics.</a:t>
          </a:r>
        </a:p>
        <a:p>
          <a:endParaRPr lang="en-US" sz="1100"/>
        </a:p>
        <a:p>
          <a:r>
            <a:rPr lang="en-US" sz="1100"/>
            <a:t>Special Squads</a:t>
          </a:r>
        </a:p>
        <a:p>
          <a:r>
            <a:rPr lang="en-US" sz="1100"/>
            <a:t>	Either side can use special squads-groups of specialists with exceptional skills who work toward special purposes. Typical purposes are reconnaissance (gathering information about the enemy), demolition (attempting to destroy one or more chosen pieces of equipment), and commando (capturing or killing one or more persons valuable to the enemy).</a:t>
          </a:r>
        </a:p>
        <a:p>
          <a:r>
            <a:rPr lang="en-US" sz="1100"/>
            <a:t>	Special squads usually involve magic. A reconnaissance squad might include persons able to fly invisibly, observing enemy forces at close range, or thieves who are able to sneak quietly. A demolition squad is usually formed to destroy siege weapons or -a belfry. A commando squad is often formed to remove or capture enemy leaders or magic-users.</a:t>
          </a:r>
        </a:p>
        <a:p>
          <a:r>
            <a:rPr lang="en-US" sz="1100"/>
            <a:t>	Special squads must be created and defined before the start of the siege. Their existence should not be revealed to the opposing player. The members of any special squad must be PCs or named NPCS. War Machine procedures are not applied; these events are played out under normal D&amp;D rules.</a:t>
          </a:r>
        </a:p>
        <a:p>
          <a:r>
            <a:rPr lang="en-US" sz="1100"/>
            <a:t>	Special squads operate between siege battle weeks. Their activities are played using normal game rules. If the DM is also one of the players in the siege battle, he or she may run the adventure, but should take great care to keep DM knowledge and NPC knowledge separate Whenever doubt exists, results should be decided in the player's favor.</a:t>
          </a:r>
        </a:p>
        <a:p>
          <a:r>
            <a:rPr lang="en-US" sz="1100"/>
            <a:t>	A group of adventurers can become a special squad for a siege. This is an ideal way to play normal D&amp;D game within the siege system.</a:t>
          </a:r>
        </a:p>
        <a:p>
          <a:r>
            <a:rPr lang="en-US" sz="1100"/>
            <a:t>	The results of a special squad's mission are applied immediately, before the next siege battle For example, actions by a special squad that result in the loss of several siege weapons, leader clerics, etc., may require the recalculation of an or all combat details (from troop BR onwards).	Field Construction</a:t>
          </a:r>
        </a:p>
        <a:p>
          <a:r>
            <a:rPr lang="en-US" sz="1100"/>
            <a:t>	Siege equipment can be constructed at the site of the siege. Each piece of equipment must be constructed under the supervision of a siege engineer. An artillerist is also needed for any artillery under construction. One siege engineer can supervise up to four constructions at one time. One artillerist can supervise only two constructions at once.</a:t>
          </a:r>
        </a:p>
        <a:p>
          <a:r>
            <a:rPr lang="en-US" sz="1100"/>
            <a:t>	To construct equipment, hardware (metal materials and tools) must be brought to the siege site. The cost of hardware is 10% of the listed cost of the piece of equipment.</a:t>
          </a:r>
        </a:p>
        <a:p>
          <a:r>
            <a:rPr lang="en-US" sz="1100"/>
            <a:t>	Wood must be in plentiful supply at or next the siege site. If a forest resource is within 5 miles, 10 men can gather enough wood in on day to make 5 hit points of equipment. If the wood is 5-10 miles away, double the time. If it's 15 miles away, triple the time, and if 15-20 miles away, quadruple the time needed.</a:t>
          </a:r>
        </a:p>
        <a:p>
          <a:r>
            <a:rPr lang="en-US" sz="1100"/>
            <a:t>	Nearby wooden buildings can be a source some usable wood. Five feet of building wall can be converted into 1 hit point of equipment (This assumes the use of rafters and beams well as the walls themselves.) Stone building (with wooden roofs) can also yield usable beam but only 5 hit points of equipment per standard stone building.</a:t>
          </a:r>
        </a:p>
        <a:p>
          <a:r>
            <a:rPr lang="en-US" sz="1100"/>
            <a:t>	Once materials are at hand, any supervised by untrained person can construct 1/2 hit point of equipment per day. The maximum number of workers that can be used is equal to half the hit points of the finished equipment. For example, six men work on a Eight catapult under proper supervision, they will finish 3 hit points per day, thing six days to complete an 18 hit point catapult No more than nine men can work on it at once.</a:t>
          </a:r>
        </a:p>
        <a:p>
          <a:r>
            <a:rPr lang="en-US" sz="1100"/>
            <a:t>	Ballista ammunition cannot be built in the field except by an armorer.</a:t>
          </a:r>
        </a:p>
        <a:p>
          <a:endParaRPr lang="en-US" sz="1100"/>
        </a:p>
        <a:p>
          <a:r>
            <a:rPr lang="en-US" sz="1100"/>
            <a:t>									125  </a:t>
          </a:r>
        </a:p>
        <a:p>
          <a:endParaRPr lang="en-US" sz="1100"/>
        </a:p>
        <a:p>
          <a:endParaRPr lang="en-US" sz="1100"/>
        </a:p>
        <a:p>
          <a:r>
            <a:rPr lang="en-US" sz="1100"/>
            <a:t>	Post-Siege Adjustments</a:t>
          </a:r>
        </a:p>
        <a:p>
          <a:r>
            <a:rPr lang="en-US" sz="1100"/>
            <a:t>	Damage to Fortifications: If siege missiles are used during a siege, fortifications suffer a certain amount of damage. To determine the state of the walls, towers, and other parts of the fortification, make a damage foil for each attacker siege weapon in use at the end of the siege (example: 1d8 + 8 for light catapult). Add all of these damage rolls together. Multiply the result by the number of weeks that the siege lasted. The defender then rolls d% and subtracts the result from the attacker's total. The result is the number of hit points of damage to the fortification.</a:t>
          </a:r>
        </a:p>
        <a:p>
          <a:r>
            <a:rPr lang="en-US" sz="1100"/>
            <a:t>	If the total damage exceeds the original hit points, the fortification is completely reduced to rubble. Otherwise, first apply damage to 75% of the wall's hit points, and (if any damage needs further accounting) to the following structures, in the order given. Deduct 20% of each structure's original hit points each time. If further damage needs accounting, apply 20% more damage to the walls and each item on the following list, in order, going through the list as many times as necessary:	gatehouses, gates, and drawbridges	normal buildings	towers	barbicans	keeps</a:t>
          </a:r>
        </a:p>
        <a:p>
          <a:r>
            <a:rPr lang="en-US" sz="1100"/>
            <a:t>	Attacks Against a Portion of a Fortification: If an attacker wishes to concentrate his assault against a small portion of a fortified position, he can do so under t he following conditions:</a:t>
          </a:r>
        </a:p>
        <a:p>
          <a:r>
            <a:rPr lang="en-US" sz="1100"/>
            <a:t>	1. The attacker can use no more than 300 troops and four siege engines per 100 feet of attack frontage.</a:t>
          </a:r>
        </a:p>
        <a:p>
          <a:r>
            <a:rPr lang="en-US" sz="1100"/>
            <a:t>	2. The defender gets the full BR benefit from the section of the fortification under attack. He also gets the full BR benefit for any towers with 200 feet of the area under attack. The defender then adds in one-quarter of the BR benefit for the remaining parts of the fortification.	Additional Details</a:t>
          </a:r>
        </a:p>
        <a:p>
          <a:r>
            <a:rPr lang="en-US" sz="1100"/>
            <a:t>	These notes are offered as historical information, to stimulate the imagination and give a more detailed view of medieval siege warfare,</a:t>
          </a:r>
        </a:p>
        <a:p>
          <a:r>
            <a:rPr lang="en-US" sz="1100"/>
            <a:t>	The siege section of the War Machine already reflects the assumption that some or all siege weapons are being employed, and that some appropriate defenses are at hand and likewise used. For fast resolution of any assault on a fortification (whether walled town or huge fortress), you can still use that system.</a:t>
          </a:r>
        </a:p>
        <a:p>
          <a:r>
            <a:rPr lang="en-US" sz="1100"/>
            <a:t>	However, not all attacks on fortresses will result in sieges. This is especially true if powerful magic-users are present, for magic can produce very fast results. When both sides have powerful magic-users, the battle could be quickly resolved in either direction, depending on the tactics used. The War Machine rules are inadequate for such cases. A game session devoted entirely to this soft of battle is recommended.</a:t>
          </a:r>
        </a:p>
        <a:p>
          <a:r>
            <a:rPr lang="en-US" sz="1100"/>
            <a:t>	If a long siege situation does arise, one important point should be emphasized: the costs of paying one's forces and maintaining supplies for their use should be strictly applied throughout any siege. Cost was historically (and should remain, in the game) the greatest obstacle to siege warfare. </a:t>
          </a:r>
        </a:p>
        <a:p>
          <a:endParaRPr lang="en-US" sz="1100"/>
        </a:p>
        <a:p>
          <a:endParaRPr lang="en-US" sz="1100"/>
        </a:p>
        <a:p>
          <a:endParaRPr lang="en-US" sz="1100"/>
        </a:p>
        <a:p>
          <a:r>
            <a:rPr lang="en-US" sz="1100"/>
            <a:t>\page</a:t>
          </a:r>
        </a:p>
        <a:p>
          <a:endParaRPr lang="en-US" sz="1100"/>
        </a:p>
        <a:p>
          <a:endParaRPr lang="en-US" sz="1100"/>
        </a:p>
        <a:p>
          <a:r>
            <a:rPr lang="en-US" sz="1100"/>
            <a:t>### Homebrew D&amp;D made easy</a:t>
          </a:r>
        </a:p>
        <a:p>
          <a:r>
            <a:rPr lang="en-US" sz="1100"/>
            <a:t>The Homebrewery makes the creation and sharing of authentic looking Fifth-Edition homebrews easy. It uses [Markdown](https://help.github.com/articles/markdown-basics/) with a little CSS magic to make your brews come to life.</a:t>
          </a:r>
        </a:p>
        <a:p>
          <a:endParaRPr lang="en-US" sz="1100"/>
        </a:p>
        <a:p>
          <a:r>
            <a:rPr lang="en-US" sz="1100"/>
            <a:t>**Try it! **Simply edit the text on the left and watch it *update live* on the right.</a:t>
          </a:r>
        </a:p>
        <a:p>
          <a:endParaRPr lang="en-US" sz="1100"/>
        </a:p>
        <a:p>
          <a:endParaRPr lang="en-US" sz="1100"/>
        </a:p>
        <a:p>
          <a:endParaRPr lang="en-US" sz="1100"/>
        </a:p>
        <a:p>
          <a:r>
            <a:rPr lang="en-US" sz="1100"/>
            <a:t>### Editing and Sharing</a:t>
          </a:r>
        </a:p>
        <a:p>
          <a:r>
            <a:rPr lang="en-US" sz="1100"/>
            <a:t>When you create your own homebrew you will be given a *edit url* and a *share url*.  Any changes you make will be automatically saved to the database within a few seconds. Anyone with the edit url will be able to make edits to your homebrew. So be careful about who you share it with.</a:t>
          </a:r>
        </a:p>
        <a:p>
          <a:endParaRPr lang="en-US" sz="1100"/>
        </a:p>
        <a:p>
          <a:r>
            <a:rPr lang="en-US" sz="1100"/>
            <a:t>Anyone with the *share url* will be able to access a read-only version of your homebrew.</a:t>
          </a:r>
        </a:p>
        <a:p>
          <a:endParaRPr lang="en-US" sz="1100"/>
        </a:p>
        <a:p>
          <a:r>
            <a:rPr lang="en-US" sz="1100"/>
            <a:t>## Helping out</a:t>
          </a:r>
        </a:p>
        <a:p>
          <a:r>
            <a:rPr lang="en-US" sz="1100"/>
            <a:t>Like this tool? Want to buy me a beer? [Head here](https://www.patreon.com/stolksdorf) to help me keep the servers running.</a:t>
          </a:r>
        </a:p>
        <a:p>
          <a:endParaRPr lang="en-US" sz="1100"/>
        </a:p>
        <a:p>
          <a:r>
            <a:rPr lang="en-US" sz="1100"/>
            <a:t>This tool will **always** be free, never have ads, and I will never offer any "premium" features or whatever.</a:t>
          </a:r>
        </a:p>
        <a:p>
          <a:endParaRPr lang="en-US" sz="1100"/>
        </a:p>
        <a:p>
          <a:endParaRPr lang="en-US" sz="1100"/>
        </a:p>
        <a:p>
          <a:endParaRPr lang="en-US" sz="1100"/>
        </a:p>
        <a:p>
          <a:r>
            <a:rPr lang="en-US" sz="1100"/>
            <a:t>&gt;##### PDF Exporting</a:t>
          </a:r>
        </a:p>
        <a:p>
          <a:r>
            <a:rPr lang="en-US" sz="1100"/>
            <a:t>&gt; PDF Printing works best in Chrome. If you are having quality/consistency issues, try using Chrome to print instead.</a:t>
          </a:r>
        </a:p>
        <a:p>
          <a:r>
            <a:rPr lang="en-US" sz="1100"/>
            <a:t>&gt;</a:t>
          </a:r>
        </a:p>
        <a:p>
          <a:r>
            <a:rPr lang="en-US" sz="1100"/>
            <a:t>&gt; After clicking the "Print" item in the navbar a new page will open and a print dialog will pop-up.</a:t>
          </a:r>
        </a:p>
        <a:p>
          <a:r>
            <a:rPr lang="en-US" sz="1100"/>
            <a:t>&gt; * Set the **Destination** to "Save as PDF"</a:t>
          </a:r>
        </a:p>
        <a:p>
          <a:r>
            <a:rPr lang="en-US" sz="1100"/>
            <a:t>&gt; * Set **Paper Size** to "Letter"</a:t>
          </a:r>
        </a:p>
        <a:p>
          <a:r>
            <a:rPr lang="en-US" sz="1100"/>
            <a:t>&gt; * If you are printing on A4 paper, make sure to have the "A4 page size snippet" in your brew</a:t>
          </a:r>
        </a:p>
        <a:p>
          <a:r>
            <a:rPr lang="en-US" sz="1100"/>
            <a:t>&gt; * In **Options** make sure "Background Images" is selected.</a:t>
          </a:r>
        </a:p>
        <a:p>
          <a:r>
            <a:rPr lang="en-US" sz="1100"/>
            <a:t>&gt; * Hit print and enjoy! You're done!</a:t>
          </a:r>
        </a:p>
        <a:p>
          <a:r>
            <a:rPr lang="en-US" sz="1100"/>
            <a:t>&gt;</a:t>
          </a:r>
        </a:p>
        <a:p>
          <a:r>
            <a:rPr lang="en-US" sz="1100"/>
            <a:t>&gt; If you want to save ink or have a monochrome printer, add the **Ink Friendly** snippet to your brew before you print</a:t>
          </a:r>
        </a:p>
        <a:p>
          <a:endParaRPr lang="en-US" sz="1100"/>
        </a:p>
        <a:p>
          <a:endParaRPr lang="en-US" sz="1100"/>
        </a:p>
        <a:p>
          <a:r>
            <a:rPr lang="en-US" sz="1100"/>
            <a:t>```</a:t>
          </a:r>
        </a:p>
        <a:p>
          <a:r>
            <a:rPr lang="en-US" sz="1100"/>
            <a:t>```</a:t>
          </a:r>
        </a:p>
        <a:p>
          <a:endParaRPr lang="en-US" sz="1100"/>
        </a:p>
        <a:p>
          <a:r>
            <a:rPr lang="en-US" sz="1100"/>
            <a:t>## Big things coming in v3.0.0</a:t>
          </a:r>
        </a:p>
        <a:p>
          <a:r>
            <a:rPr lang="en-US" sz="1100"/>
            <a:t>With the next major release of Homebrewery, v3.0.0, this tool *will no longer support raw HTML input for brew code*. All brews made previous to the release of v3.0.0 will still render normally.</a:t>
          </a:r>
        </a:p>
        <a:p>
          <a:endParaRPr lang="en-US" sz="1100"/>
        </a:p>
        <a:p>
          <a:r>
            <a:rPr lang="en-US" sz="1100"/>
            <a:t>## New Things All The Time!</a:t>
          </a:r>
        </a:p>
        <a:p>
          <a:r>
            <a:rPr lang="en-US" sz="1100"/>
            <a:t>What's new in the latest update? Check out the full changelog [here](/changelog)</a:t>
          </a:r>
        </a:p>
        <a:p>
          <a:endParaRPr lang="en-US" sz="1100"/>
        </a:p>
        <a:p>
          <a:r>
            <a:rPr lang="en-US" sz="1100"/>
            <a:t>### Bugs, Issues, Suggestions?</a:t>
          </a:r>
        </a:p>
        <a:p>
          <a:r>
            <a:rPr lang="en-US" sz="1100"/>
            <a:t>Have an idea of how to make The Homebrewery better? Or did you find something that wasn't quite right? Head [here](https://github.com/stolksdorf/homebrewery/issues/new) and let me know!.</a:t>
          </a:r>
        </a:p>
        <a:p>
          <a:endParaRPr lang="en-US" sz="1100"/>
        </a:p>
        <a:p>
          <a:r>
            <a:rPr lang="en-US" sz="1100"/>
            <a:t>### Legal Junk</a:t>
          </a:r>
        </a:p>
        <a:p>
          <a:r>
            <a:rPr lang="en-US" sz="1100"/>
            <a:t>The Homebrewery is licensed using the [MIT License](https://github.com/stolksdorf/homebrewery/blob/master/license). Which means you are free to use The Homebrewery is any way that you want, except for claiming that you made it yourself.</a:t>
          </a:r>
        </a:p>
        <a:p>
          <a:endParaRPr lang="en-US" sz="1100"/>
        </a:p>
        <a:p>
          <a:r>
            <a:rPr lang="en-US" sz="1100"/>
            <a:t>If you wish to sell or in some way gain profit for what's created on this site, it's your responsibility to ensure you have the proper licenses/rights for any images or resources used.</a:t>
          </a:r>
        </a:p>
        <a:p>
          <a:endParaRPr lang="en-US" sz="1100"/>
        </a:p>
        <a:p>
          <a:r>
            <a:rPr lang="en-US" sz="1100"/>
            <a:t>### More Resources</a:t>
          </a:r>
        </a:p>
        <a:p>
          <a:r>
            <a:rPr lang="en-US" sz="1100"/>
            <a:t>If you are looking for more 5e Homebrew resources check out [r/UnearthedArcana](https://www.reddit.com/r/UnearthedArcana/) and their list of useful resources [here](https://www.reddit.com/r/UnearthedArcana/comments/3uwxx9/resources_open_to_the_community/).</a:t>
          </a:r>
        </a:p>
        <a:p>
          <a:endParaRPr lang="en-US" sz="1100"/>
        </a:p>
        <a:p>
          <a:endParaRPr lang="en-US" sz="1100"/>
        </a:p>
        <a:p>
          <a:endParaRPr lang="en-US" sz="1100"/>
        </a:p>
        <a:p>
          <a:r>
            <a:rPr lang="en-US" sz="1100"/>
            <a:t>&lt;img src='http://i.imgur.com/hMna6G0.png' style='position:absolute;bottom:50px;right:30px;width:280px' /&gt;</a:t>
          </a:r>
        </a:p>
        <a:p>
          <a:endParaRPr lang="en-US" sz="1100"/>
        </a:p>
        <a:p>
          <a:r>
            <a:rPr lang="en-US" sz="1100"/>
            <a:t>&lt;div class='pageNumber'&gt;1&lt;/div&gt;</a:t>
          </a:r>
        </a:p>
        <a:p>
          <a:r>
            <a:rPr lang="en-US" sz="1100"/>
            <a:t>&lt;div class='footnote'&gt;PART 1 | FANCINESS&lt;/div&gt;</a:t>
          </a:r>
        </a:p>
        <a:p>
          <a:endParaRPr lang="en-US" sz="1100"/>
        </a:p>
        <a:p>
          <a:endParaRPr lang="en-US" sz="1100"/>
        </a:p>
        <a:p>
          <a:endParaRPr lang="en-US" sz="1100"/>
        </a:p>
        <a:p>
          <a:endParaRPr lang="en-US" sz="1100"/>
        </a:p>
        <a:p>
          <a:r>
            <a:rPr lang="en-US" sz="1100"/>
            <a:t>\page</a:t>
          </a:r>
        </a:p>
        <a:p>
          <a:endParaRPr lang="en-US" sz="1100"/>
        </a:p>
        <a:p>
          <a:r>
            <a:rPr lang="en-US" sz="1100"/>
            <a:t># Appendix</a:t>
          </a:r>
        </a:p>
        <a:p>
          <a:endParaRPr lang="en-US" sz="1100"/>
        </a:p>
        <a:p>
          <a:r>
            <a:rPr lang="en-US" sz="1100"/>
            <a:t>### Not quite Markdown</a:t>
          </a:r>
        </a:p>
        <a:p>
          <a:r>
            <a:rPr lang="en-US" sz="1100"/>
            <a:t>Although the Homebrewery uses Markdown, to get all the styling features from the PHB, we had to get a little creative. Some base HTML elements are not used as expected and I've had to include a few new keywords.</a:t>
          </a:r>
        </a:p>
        <a:p>
          <a:endParaRPr lang="en-US" sz="1100"/>
        </a:p>
        <a:p>
          <a:r>
            <a:rPr lang="en-US" sz="1100"/>
            <a:t>___</a:t>
          </a:r>
        </a:p>
        <a:p>
          <a:r>
            <a:rPr lang="en-US" sz="1100"/>
            <a:t>* **Horizontal Rules** are generally used to *modify* existing elements into a different style. For example, a horizontal rule before a blockquote will give it the style of a Monster Stat Block instead of a note.</a:t>
          </a:r>
        </a:p>
        <a:p>
          <a:r>
            <a:rPr lang="en-US" sz="1100"/>
            <a:t>* **New Pages** are controlled by the author. It's impossible for the site to detect when the end of a page is reached, so indicate you'd like to start a new page, use the new page snippet to get the syntax.</a:t>
          </a:r>
        </a:p>
        <a:p>
          <a:r>
            <a:rPr lang="en-US" sz="1100"/>
            <a:t>* **Code Blocks** are used only to indicate column breaks. Since they don't allow for styling within them, they weren't that useful to use.</a:t>
          </a:r>
        </a:p>
        <a:p>
          <a:r>
            <a:rPr lang="en-US" sz="1100"/>
            <a:t>* **HTML** can be used to get *just* the right look for your homebrew. I've included some examples in the snippet icons above the editor.</a:t>
          </a:r>
        </a:p>
        <a:p>
          <a:endParaRPr lang="en-US" sz="1100"/>
        </a:p>
        <a:p>
          <a:endParaRPr lang="en-US" sz="1100"/>
        </a:p>
        <a:p>
          <a:endParaRPr lang="en-US" sz="1100"/>
        </a:p>
        <a:p>
          <a:r>
            <a:rPr lang="en-US" sz="1100"/>
            <a:t>```</a:t>
          </a:r>
        </a:p>
        <a:p>
          <a:r>
            <a:rPr lang="en-US" sz="1100"/>
            <a:t>```</a:t>
          </a:r>
        </a:p>
        <a:p>
          <a:endParaRPr lang="en-US" sz="1100"/>
        </a:p>
        <a:p>
          <a:endParaRPr lang="en-US" sz="1100"/>
        </a:p>
        <a:p>
          <a:r>
            <a:rPr lang="en-US" sz="1100"/>
            <a:t>### Images</a:t>
          </a:r>
        </a:p>
        <a:p>
          <a:r>
            <a:rPr lang="en-US" sz="1100"/>
            <a:t>Images must be hosted online somewhere, like imgur. You use the address to that image to reference it in your brew. Images can be included 'inline' with the text using Markdown-style images. However for background images more control is needed.</a:t>
          </a:r>
        </a:p>
        <a:p>
          <a:endParaRPr lang="en-US" sz="1100"/>
        </a:p>
        <a:p>
          <a:r>
            <a:rPr lang="en-US" sz="1100"/>
            <a:t>Background images should be included as HTML-style img tags. Using inline CSS you can precisely position your image where you'd like it to be. I have added both a inflow image snippet and a background image snippet to give you exmaples of how to do it.</a:t>
          </a:r>
        </a:p>
        <a:p>
          <a:endParaRPr lang="en-US" sz="1100"/>
        </a:p>
        <a:p>
          <a:endParaRPr lang="en-US" sz="1100"/>
        </a:p>
        <a:p>
          <a:endParaRPr lang="en-US" sz="1100"/>
        </a:p>
        <a:p>
          <a:r>
            <a:rPr lang="en-US" sz="1100"/>
            <a:t>### Crediting Me</a:t>
          </a:r>
        </a:p>
        <a:p>
          <a:r>
            <a:rPr lang="en-US" sz="1100"/>
            <a:t>If you'd like to credit The Homebrewery in your brew, I'd be flattered! Just reference that you made it with The Homebrewery.</a:t>
          </a:r>
        </a:p>
        <a:p>
          <a:endParaRPr lang="en-US" sz="1100"/>
        </a:p>
        <a:p>
          <a:endParaRPr lang="en-US" sz="1100"/>
        </a:p>
        <a:p>
          <a:endParaRPr lang="en-US" sz="1100"/>
        </a:p>
        <a:p>
          <a:r>
            <a:rPr lang="en-US" sz="1100"/>
            <a:t>&lt;div class='pageNumber'&gt;2&lt;/div&gt;</a:t>
          </a:r>
        </a:p>
        <a:p>
          <a:r>
            <a:rPr lang="en-US" sz="1100"/>
            <a:t>&lt;div class='footnote'&gt;PART 2 | BORING STUFF&lt;/div&gt;</a:t>
          </a:r>
        </a:p>
        <a:p>
          <a:endParaRPr lang="en-US" sz="1100"/>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819149</xdr:rowOff>
    </xdr:from>
    <xdr:to>
      <xdr:col>2</xdr:col>
      <xdr:colOff>0</xdr:colOff>
      <xdr:row>6</xdr:row>
      <xdr:rowOff>257174</xdr:rowOff>
    </xdr:to>
    <xdr:sp macro="" textlink="">
      <xdr:nvSpPr>
        <xdr:cNvPr id="2" name="Line Callout 1 1">
          <a:extLst>
            <a:ext uri="{FF2B5EF4-FFF2-40B4-BE49-F238E27FC236}">
              <a16:creationId xmlns:a16="http://schemas.microsoft.com/office/drawing/2014/main" id="{DE4A1C4E-671C-4480-86B4-DB21CE156280}"/>
            </a:ext>
          </a:extLst>
        </xdr:cNvPr>
        <xdr:cNvSpPr/>
      </xdr:nvSpPr>
      <xdr:spPr>
        <a:xfrm>
          <a:off x="209550" y="990599"/>
          <a:ext cx="1476375" cy="1285875"/>
        </a:xfrm>
        <a:prstGeom prst="borderCallout1">
          <a:avLst>
            <a:gd name="adj1" fmla="val 18396"/>
            <a:gd name="adj2" fmla="val 123242"/>
            <a:gd name="adj3" fmla="val 40543"/>
            <a:gd name="adj4" fmla="val 101166"/>
          </a:avLst>
        </a:prstGeom>
        <a:ln w="19050"/>
      </xdr:spPr>
      <xdr:style>
        <a:lnRef idx="1">
          <a:schemeClr val="dk1"/>
        </a:lnRef>
        <a:fillRef idx="2">
          <a:schemeClr val="dk1"/>
        </a:fillRef>
        <a:effectRef idx="1">
          <a:schemeClr val="dk1"/>
        </a:effectRef>
        <a:fontRef idx="minor">
          <a:schemeClr val="dk1"/>
        </a:fontRef>
      </xdr:style>
      <xdr:txBody>
        <a:bodyPr vertOverflow="clip" horzOverflow="clip" lIns="45720" rIns="45720" rtlCol="0" anchor="t"/>
        <a:lstStyle/>
        <a:p>
          <a:pPr algn="l"/>
          <a:r>
            <a:rPr lang="en-US" sz="1000"/>
            <a:t>When level is mentioned, use either the actual</a:t>
          </a:r>
          <a:r>
            <a:rPr lang="en-US" sz="1000" baseline="0"/>
            <a:t> level (for PCs) or the CR+2 if the CR is 1 or above, use 2 if the CR is 1/2, use 1 if the CR is 1/8 or 1/4, and use 0 for lower.</a:t>
          </a:r>
        </a:p>
        <a:p>
          <a:pPr algn="l"/>
          <a:endParaRPr lang="en-US" sz="1000" baseline="0"/>
        </a:p>
        <a:p>
          <a:pPr algn="l"/>
          <a:endParaRPr lang="en-US" sz="1000"/>
        </a:p>
      </xdr:txBody>
    </xdr:sp>
    <xdr:clientData/>
  </xdr:twoCellAnchor>
  <xdr:twoCellAnchor>
    <xdr:from>
      <xdr:col>1</xdr:col>
      <xdr:colOff>0</xdr:colOff>
      <xdr:row>11</xdr:row>
      <xdr:rowOff>0</xdr:rowOff>
    </xdr:from>
    <xdr:to>
      <xdr:col>2</xdr:col>
      <xdr:colOff>0</xdr:colOff>
      <xdr:row>19</xdr:row>
      <xdr:rowOff>0</xdr:rowOff>
    </xdr:to>
    <xdr:sp macro="" textlink="">
      <xdr:nvSpPr>
        <xdr:cNvPr id="3" name="Line Callout 1 1">
          <a:extLst>
            <a:ext uri="{FF2B5EF4-FFF2-40B4-BE49-F238E27FC236}">
              <a16:creationId xmlns:a16="http://schemas.microsoft.com/office/drawing/2014/main" id="{1F95B6FF-A972-4841-A3C9-FDA10B0AF7C3}"/>
            </a:ext>
          </a:extLst>
        </xdr:cNvPr>
        <xdr:cNvSpPr/>
      </xdr:nvSpPr>
      <xdr:spPr>
        <a:xfrm>
          <a:off x="209550" y="3638550"/>
          <a:ext cx="1476375" cy="3600450"/>
        </a:xfrm>
        <a:prstGeom prst="borderCallout1">
          <a:avLst>
            <a:gd name="adj1" fmla="val 59841"/>
            <a:gd name="adj2" fmla="val 127758"/>
            <a:gd name="adj3" fmla="val 61185"/>
            <a:gd name="adj4" fmla="val 101167"/>
          </a:avLst>
        </a:prstGeom>
        <a:ln w="19050"/>
      </xdr:spPr>
      <xdr:style>
        <a:lnRef idx="1">
          <a:schemeClr val="dk1"/>
        </a:lnRef>
        <a:fillRef idx="2">
          <a:schemeClr val="dk1"/>
        </a:fillRef>
        <a:effectRef idx="1">
          <a:schemeClr val="dk1"/>
        </a:effectRef>
        <a:fontRef idx="minor">
          <a:schemeClr val="dk1"/>
        </a:fontRef>
      </xdr:style>
      <xdr:txBody>
        <a:bodyPr vertOverflow="clip" horzOverflow="clip" lIns="45720" rIns="45720" rtlCol="0" anchor="t"/>
        <a:lstStyle/>
        <a:p>
          <a:pPr algn="l"/>
          <a:r>
            <a:rPr lang="en-US" sz="1000"/>
            <a:t>If the force is all elves or dwarves (or other type of force which is considered "elite" in your world), the</a:t>
          </a:r>
          <a:r>
            <a:rPr lang="en-US" sz="1000" baseline="0"/>
            <a:t> value is 15. Otherwise, for each 1% of the force that has potent abilities that are applicable to a battle, add 2. For example, in a force of 190 zombies and 10 ghouls,  5% of the force (the ghouls) have a powerful ability to paralyze, so the bonus is +10. If some creatures have multiple abilities that apply, multiply the bonus by the number of abilities. So for example if instead there are devourers, add 4 for each 1% of the force that are devourers.</a:t>
          </a:r>
          <a:endParaRPr lang="en-US"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2</xdr:col>
      <xdr:colOff>0</xdr:colOff>
      <xdr:row>6</xdr:row>
      <xdr:rowOff>0</xdr:rowOff>
    </xdr:to>
    <xdr:sp macro="" textlink="">
      <xdr:nvSpPr>
        <xdr:cNvPr id="2" name="Line Callout 1 1">
          <a:extLst>
            <a:ext uri="{FF2B5EF4-FFF2-40B4-BE49-F238E27FC236}">
              <a16:creationId xmlns:a16="http://schemas.microsoft.com/office/drawing/2014/main" id="{00000000-0008-0000-0300-000002000000}"/>
            </a:ext>
          </a:extLst>
        </xdr:cNvPr>
        <xdr:cNvSpPr/>
      </xdr:nvSpPr>
      <xdr:spPr>
        <a:xfrm>
          <a:off x="209550" y="552450"/>
          <a:ext cx="1476375" cy="1028700"/>
        </a:xfrm>
        <a:prstGeom prst="borderCallout1">
          <a:avLst>
            <a:gd name="adj1" fmla="val 36914"/>
            <a:gd name="adj2" fmla="val 132274"/>
            <a:gd name="adj3" fmla="val 40543"/>
            <a:gd name="adj4" fmla="val 101166"/>
          </a:avLst>
        </a:prstGeom>
        <a:ln w="19050"/>
      </xdr:spPr>
      <xdr:style>
        <a:lnRef idx="1">
          <a:schemeClr val="dk1"/>
        </a:lnRef>
        <a:fillRef idx="2">
          <a:schemeClr val="dk1"/>
        </a:fillRef>
        <a:effectRef idx="1">
          <a:schemeClr val="dk1"/>
        </a:effectRef>
        <a:fontRef idx="minor">
          <a:schemeClr val="dk1"/>
        </a:fontRef>
      </xdr:style>
      <xdr:txBody>
        <a:bodyPr vertOverflow="clip" horzOverflow="clip" lIns="45720" rIns="45720" rtlCol="0" anchor="t"/>
        <a:lstStyle/>
        <a:p>
          <a:pPr algn="l"/>
          <a:r>
            <a:rPr lang="en-US" sz="1000"/>
            <a:t>When level is mentioned, use either the actual</a:t>
          </a:r>
          <a:r>
            <a:rPr lang="en-US" sz="1000" baseline="0"/>
            <a:t> level (for PCs) or the CR+2 if the CR is 1 or above, use 2 if the CR is 1/2 and use 1 if the CR is 1/8 or 1/4.</a:t>
          </a:r>
        </a:p>
        <a:p>
          <a:pPr algn="l"/>
          <a:endParaRPr lang="en-US" sz="1000"/>
        </a:p>
      </xdr:txBody>
    </xdr:sp>
    <xdr:clientData/>
  </xdr:twoCellAnchor>
  <xdr:twoCellAnchor>
    <xdr:from>
      <xdr:col>1</xdr:col>
      <xdr:colOff>0</xdr:colOff>
      <xdr:row>14</xdr:row>
      <xdr:rowOff>0</xdr:rowOff>
    </xdr:from>
    <xdr:to>
      <xdr:col>2</xdr:col>
      <xdr:colOff>0</xdr:colOff>
      <xdr:row>28</xdr:row>
      <xdr:rowOff>0</xdr:rowOff>
    </xdr:to>
    <xdr:sp macro="" textlink="">
      <xdr:nvSpPr>
        <xdr:cNvPr id="3" name="Line Callout 1 1">
          <a:extLst>
            <a:ext uri="{FF2B5EF4-FFF2-40B4-BE49-F238E27FC236}">
              <a16:creationId xmlns:a16="http://schemas.microsoft.com/office/drawing/2014/main" id="{D6DF7A61-6F58-4C01-A853-0F93C4B91F60}"/>
            </a:ext>
          </a:extLst>
        </xdr:cNvPr>
        <xdr:cNvSpPr/>
      </xdr:nvSpPr>
      <xdr:spPr>
        <a:xfrm>
          <a:off x="209550" y="3638550"/>
          <a:ext cx="1476375" cy="3600450"/>
        </a:xfrm>
        <a:prstGeom prst="borderCallout1">
          <a:avLst>
            <a:gd name="adj1" fmla="val 59841"/>
            <a:gd name="adj2" fmla="val 127758"/>
            <a:gd name="adj3" fmla="val 61185"/>
            <a:gd name="adj4" fmla="val 101167"/>
          </a:avLst>
        </a:prstGeom>
        <a:ln w="19050"/>
      </xdr:spPr>
      <xdr:style>
        <a:lnRef idx="1">
          <a:schemeClr val="dk1"/>
        </a:lnRef>
        <a:fillRef idx="2">
          <a:schemeClr val="dk1"/>
        </a:fillRef>
        <a:effectRef idx="1">
          <a:schemeClr val="dk1"/>
        </a:effectRef>
        <a:fontRef idx="minor">
          <a:schemeClr val="dk1"/>
        </a:fontRef>
      </xdr:style>
      <xdr:txBody>
        <a:bodyPr vertOverflow="clip" horzOverflow="clip" lIns="45720" rIns="45720" rtlCol="0" anchor="t"/>
        <a:lstStyle/>
        <a:p>
          <a:pPr algn="l"/>
          <a:r>
            <a:rPr lang="en-US" sz="1000"/>
            <a:t>If the force is all elves or dwarves (or other type of force which is considered "elite" in your world), the</a:t>
          </a:r>
          <a:r>
            <a:rPr lang="en-US" sz="1000" baseline="0"/>
            <a:t> value is 15. Otherwise, for each 1% of the force that has potent abilities that are applicable to a battle, add 2. For example, in a force of 190 zombies and 10 ghouls,  5% of the force (the ghouls) have a powerful ability to paralyze, so the bonus is +10. If some creatures have multiple abilities that apply, multiply the bonus by the number of abilities. So for example if instead there are devourers, add 4 for each 1% of the force that are devourers.</a:t>
          </a:r>
          <a:endParaRPr lang="en-US" sz="1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2" displayName="Table42" ref="D2:AT44" totalsRowShown="0" headerRowDxfId="300" dataDxfId="298" headerRowBorderDxfId="299">
  <autoFilter ref="D2:AT44" xr:uid="{00000000-0009-0000-0100-000001000000}"/>
  <tableColumns count="43">
    <tableColumn id="1" xr3:uid="{00000000-0010-0000-0000-000001000000}" name="Force Characteristics     " dataDxfId="297"/>
    <tableColumn id="2" xr3:uid="{00000000-0010-0000-0000-000002000000}" name="Lemures with Bearded Devil Officers and Barbed Devil Commander" dataDxfId="296"/>
    <tableColumn id="24" xr3:uid="{00000000-0010-0000-0000-000018000000}" name="Nupperibos with Bearded Devil Officers and Barbed Devil Commander" dataDxfId="295"/>
    <tableColumn id="23" xr3:uid="{00000000-0010-0000-0000-000017000000}" name="Imps with Spined Devil Officers and White Abishai Commander" dataDxfId="294"/>
    <tableColumn id="22" xr3:uid="{00000000-0010-0000-0000-000016000000}" name="Bearded Devils with Barbed Devils Officers and Bone Devil Commander" dataDxfId="293"/>
    <tableColumn id="27" xr3:uid="{00000000-0010-0000-0000-00001B000000}" name="Merregons with Boned Devils Officers and Horned Devil Commander" dataDxfId="292"/>
    <tableColumn id="42" xr3:uid="{F8FCB0D7-BA79-44BC-AD0E-70D19B449FC9}" name="Dogais with Dogai Officers and Dogai Commander"/>
    <tableColumn id="41" xr3:uid="{732CC659-E3D4-45BB-A34D-160313F9C2E2}" name="Buerozas with Barbed Devils Officers and Bone Devil Commander"/>
    <tableColumn id="14" xr3:uid="{00000000-0010-0000-0000-00000E000000}" name="Light War Machine Units (Devil's Ride / Bearded / Barbed)" dataDxfId="291"/>
    <tableColumn id="13" xr3:uid="{00000000-0010-0000-0000-00000D000000}" name="Light War Machine Units (Tormentors / Bearded / Barbed)2"/>
    <tableColumn id="12" xr3:uid="{00000000-0010-0000-0000-00000C000000}" name="Heavy War Machines Unit (Demon Grinder / Merregons / Bone Devil)" dataDxfId="290"/>
    <tableColumn id="17" xr3:uid="{00000000-0010-0000-0000-000011000000}" name="77th Infantry - Herlekins with Bearded Devil Officers and Barbed Devil Commander"/>
    <tableColumn id="16" xr3:uid="{00000000-0010-0000-0000-000010000000}" name="77th Sappers -  Ice Stalkers with Bearded Devil Officers and Barbed Devil Commander"/>
    <tableColumn id="15" xr3:uid="{00000000-0010-0000-0000-00000F000000}" name="77th Cavalry - Light War Machine Units (Tormentors / Bearded / Barbed)"/>
    <tableColumn id="18" xr3:uid="{00000000-0010-0000-0000-000012000000}" name="Mad Maggie's - Madcaps with Redcap Officers and Nighthag Commander" dataDxfId="289"/>
    <tableColumn id="37" xr3:uid="{00000000-0010-0000-0000-000025000000}" name="Goreguts - Wererats with Wereboar Officers and Wereboar Commander"/>
    <tableColumn id="36" xr3:uid="{00000000-0010-0000-0000-000024000000}" name="Raggadragga - Heavy War Machines Unit (Demon Grinder / Wereboars / Wereboars)"/>
    <tableColumn id="35" xr3:uid="{00000000-0010-0000-0000-000023000000}" name="Bitter Breath's Marauders - Hobgoblins with Hobgoblins Captains Officers and Horned Devil Commander"/>
    <tableColumn id="40" xr3:uid="{00000000-0010-0000-0000-000028000000}" name="Bitter Breath's Crushers - Light War Machine Units (Tormentors / Hobgoblins / Hobgoblins Captains )"/>
    <tableColumn id="34" xr3:uid="{00000000-0010-0000-0000-000022000000}" name="Feonor's Golden Gloom - Ghouls with Ghast Officers and Archmage Commander"/>
    <tableColumn id="43" xr3:uid="{60093DEE-D720-4EC2-9772-26E270529631}" name="Feonor's Crimson Tide  - Zombie Ogres with Zombie Hill Giant Officers and Archmage Commander"/>
    <tableColumn id="38" xr3:uid="{00000000-0010-0000-0000-000026000000}" name="Princeps Kovik's Eight Remnant - Lemures with Bearded Devil Officers and Chain Devil Commander"/>
    <tableColumn id="39" xr3:uid="{00000000-0010-0000-0000-000027000000}" name="Big Chief Demoneater - Ogres with Hill Giant Officers and Commander"/>
    <tableColumn id="19" xr3:uid="{00000000-0010-0000-0000-000013000000}" name="The Court of Filth - Cranium Rats" dataDxfId="288"/>
    <tableColumn id="26" xr3:uid="{00000000-0010-0000-0000-00001A000000}" name="Mezzoloths with Nycaloth Officers and Arcanaloth Commander" dataDxfId="287"/>
    <tableColumn id="33" xr3:uid="{00000000-0010-0000-0000-000021000000}" name="Dhergoloths with Nycaloth Officers and Arcanaloth Commander" dataDxfId="286"/>
    <tableColumn id="25" xr3:uid="{00000000-0010-0000-0000-000019000000}" name="Dretches with Rutterkin Officers and Babau Commander" dataDxfId="285"/>
    <tableColumn id="21" xr3:uid="{00000000-0010-0000-0000-000015000000}" name="Rutterkins with Bulezeau Officers and Babau Commander" dataDxfId="284"/>
    <tableColumn id="31" xr3:uid="{00000000-0010-0000-0000-00001F000000}" name="Bulezeaus with Babaus Officers and Shadow Demon Commander"/>
    <tableColumn id="30" xr3:uid="{00000000-0010-0000-0000-00001E000000}" name="Babaus with Shadow Demon Officers and Glabrezu Commander"/>
    <tableColumn id="32" xr3:uid="{00000000-0010-0000-0000-000020000000}" name="Barlguras with Armanite Officers and Glabrezu Commander"/>
    <tableColumn id="29" xr3:uid="{00000000-0010-0000-0000-00001D000000}" name="Armanites with Shadow Demon Officers and Glabrezu Nalfeshnee Commander" dataDxfId="283"/>
    <tableColumn id="28" xr3:uid="{00000000-0010-0000-0000-00001C000000}" name="Column1"/>
    <tableColumn id="20" xr3:uid="{00000000-0010-0000-0000-000014000000}" name="NewGallo_x000a_Militia" dataDxfId="282"/>
    <tableColumn id="3" xr3:uid="{00000000-0010-0000-0000-000003000000}" name="Ducal_x000a_Marines" dataDxfId="281"/>
    <tableColumn id="7" xr3:uid="{00000000-0010-0000-0000-000007000000}" name="Drow_x000a_Raiders" dataDxfId="280"/>
    <tableColumn id="4" xr3:uid="{00000000-0010-0000-0000-000004000000}" name="Firenewt_x000a_Infantry" dataDxfId="279"/>
    <tableColumn id="5" xr3:uid="{00000000-0010-0000-0000-000005000000}" name="Firenewt_x000a_Cavalry" dataDxfId="278"/>
    <tableColumn id="8" xr3:uid="{00000000-0010-0000-0000-000008000000}" name="Goblin_x000a_Skimishers" dataDxfId="277"/>
    <tableColumn id="11" xr3:uid="{00000000-0010-0000-0000-00000B000000}" name="Orc Raiders" dataDxfId="276"/>
    <tableColumn id="10" xr3:uid="{00000000-0010-0000-0000-00000A000000}" name="Human Cavalry" dataDxfId="275"/>
    <tableColumn id="9" xr3:uid="{00000000-0010-0000-0000-000009000000}" name="Elven Archers" dataDxfId="274"/>
    <tableColumn id="6" xr3:uid="{00000000-0010-0000-0000-000006000000}" name="Dwarven Infantry" dataDxfId="27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D2:N30" totalsRowShown="0" headerRowDxfId="272" dataDxfId="270" headerRowBorderDxfId="271">
  <autoFilter ref="D2:N30" xr:uid="{00000000-0009-0000-0100-000004000000}"/>
  <tableColumns count="11">
    <tableColumn id="1" xr3:uid="{00000000-0010-0000-0100-000001000000}" name="Force Characteristics     " dataDxfId="269"/>
    <tableColumn id="2" xr3:uid="{00000000-0010-0000-0100-000002000000}" name="NewGallo_x000a_Militia" dataDxfId="268"/>
    <tableColumn id="3" xr3:uid="{00000000-0010-0000-0100-000003000000}" name="Ducal_x000a_Marines" dataDxfId="267"/>
    <tableColumn id="7" xr3:uid="{00000000-0010-0000-0100-000007000000}" name="Drow_x000a_Raiders" dataDxfId="266"/>
    <tableColumn id="4" xr3:uid="{00000000-0010-0000-0100-000004000000}" name="Firenewt_x000a_Infantry" dataDxfId="265"/>
    <tableColumn id="5" xr3:uid="{00000000-0010-0000-0100-000005000000}" name="Firenewt_x000a_Cavalry" dataDxfId="264"/>
    <tableColumn id="8" xr3:uid="{00000000-0010-0000-0100-000008000000}" name="Goblin_x000a_Skimishers" dataDxfId="263"/>
    <tableColumn id="11" xr3:uid="{00000000-0010-0000-0100-00000B000000}" name="Orc Raiders" dataDxfId="262"/>
    <tableColumn id="10" xr3:uid="{00000000-0010-0000-0100-00000A000000}" name="Human Cavalry" dataDxfId="261"/>
    <tableColumn id="9" xr3:uid="{00000000-0010-0000-0100-000009000000}" name="Elven Archers" dataDxfId="260"/>
    <tableColumn id="6" xr3:uid="{00000000-0010-0000-0100-000006000000}" name="Dwarven Infantry" dataDxfId="25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G45" totalsRowShown="0" headerRowDxfId="58" dataDxfId="57">
  <autoFilter ref="A1:G45" xr:uid="{00000000-0009-0000-0100-000002000000}"/>
  <tableColumns count="7">
    <tableColumn id="1" xr3:uid="{00000000-0010-0000-0200-000001000000}" name="Side" dataDxfId="56"/>
    <tableColumn id="2" xr3:uid="{00000000-0010-0000-0200-000002000000}" name="Force" dataDxfId="55"/>
    <tableColumn id="3" xr3:uid="{00000000-0010-0000-0200-000003000000}" name="Unit" dataDxfId="54"/>
    <tableColumn id="4" xr3:uid="{00000000-0010-0000-0200-000004000000}" name="Troops" dataDxfId="53"/>
    <tableColumn id="5" xr3:uid="{00000000-0010-0000-0200-000005000000}" name="Battle_x000a_Rating" dataDxfId="52"/>
    <tableColumn id="6" xr3:uid="{00000000-0010-0000-0200-000006000000}" name="Lemures_x000a_Equivalent" dataDxfId="51"/>
    <tableColumn id="7" xr3:uid="{00000000-0010-0000-0200-000007000000}" name="Description"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6" Type="http://schemas.openxmlformats.org/officeDocument/2006/relationships/hyperlink" Target="about:blank" TargetMode="External"/><Relationship Id="rId21" Type="http://schemas.openxmlformats.org/officeDocument/2006/relationships/hyperlink" Target="about:blank" TargetMode="External"/><Relationship Id="rId42" Type="http://schemas.openxmlformats.org/officeDocument/2006/relationships/hyperlink" Target="about:blank" TargetMode="External"/><Relationship Id="rId47" Type="http://schemas.openxmlformats.org/officeDocument/2006/relationships/hyperlink" Target="about:blank" TargetMode="External"/><Relationship Id="rId63" Type="http://schemas.openxmlformats.org/officeDocument/2006/relationships/hyperlink" Target="about:blank" TargetMode="External"/><Relationship Id="rId68" Type="http://schemas.openxmlformats.org/officeDocument/2006/relationships/hyperlink" Target="about:blank" TargetMode="External"/><Relationship Id="rId84" Type="http://schemas.openxmlformats.org/officeDocument/2006/relationships/table" Target="../tables/table1.xml"/><Relationship Id="rId16" Type="http://schemas.openxmlformats.org/officeDocument/2006/relationships/hyperlink" Target="about:blank" TargetMode="External"/><Relationship Id="rId11" Type="http://schemas.openxmlformats.org/officeDocument/2006/relationships/hyperlink" Target="about:blank" TargetMode="External"/><Relationship Id="rId32" Type="http://schemas.openxmlformats.org/officeDocument/2006/relationships/hyperlink" Target="about:blank" TargetMode="External"/><Relationship Id="rId37" Type="http://schemas.openxmlformats.org/officeDocument/2006/relationships/hyperlink" Target="about:blank" TargetMode="External"/><Relationship Id="rId53" Type="http://schemas.openxmlformats.org/officeDocument/2006/relationships/hyperlink" Target="about:blank" TargetMode="External"/><Relationship Id="rId58" Type="http://schemas.openxmlformats.org/officeDocument/2006/relationships/hyperlink" Target="about:blank" TargetMode="External"/><Relationship Id="rId74" Type="http://schemas.openxmlformats.org/officeDocument/2006/relationships/hyperlink" Target="https://www.dndbeyond.com/monsters/1385105-steel-devil-bueroza" TargetMode="External"/><Relationship Id="rId79" Type="http://schemas.openxmlformats.org/officeDocument/2006/relationships/hyperlink" Target="https://www.dndbeyond.com/monsters/hill-giant" TargetMode="External"/><Relationship Id="rId5" Type="http://schemas.openxmlformats.org/officeDocument/2006/relationships/hyperlink" Target="about:blank" TargetMode="External"/><Relationship Id="rId61" Type="http://schemas.openxmlformats.org/officeDocument/2006/relationships/hyperlink" Target="about:blank" TargetMode="External"/><Relationship Id="rId82" Type="http://schemas.openxmlformats.org/officeDocument/2006/relationships/printerSettings" Target="../printerSettings/printerSettings1.bin"/><Relationship Id="rId1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 Id="rId35" Type="http://schemas.openxmlformats.org/officeDocument/2006/relationships/hyperlink" Target="about:blank" TargetMode="External"/><Relationship Id="rId43" Type="http://schemas.openxmlformats.org/officeDocument/2006/relationships/hyperlink" Target="about:blank" TargetMode="External"/><Relationship Id="rId48" Type="http://schemas.openxmlformats.org/officeDocument/2006/relationships/hyperlink" Target="about:blank" TargetMode="External"/><Relationship Id="rId56" Type="http://schemas.openxmlformats.org/officeDocument/2006/relationships/hyperlink" Target="about:blank" TargetMode="External"/><Relationship Id="rId64" Type="http://schemas.openxmlformats.org/officeDocument/2006/relationships/hyperlink" Target="about:blank" TargetMode="External"/><Relationship Id="rId69" Type="http://schemas.openxmlformats.org/officeDocument/2006/relationships/hyperlink" Target="about:blank" TargetMode="External"/><Relationship Id="rId77" Type="http://schemas.openxmlformats.org/officeDocument/2006/relationships/hyperlink" Target="about:blank" TargetMode="External"/><Relationship Id="rId8" Type="http://schemas.openxmlformats.org/officeDocument/2006/relationships/hyperlink" Target="about:blank" TargetMode="External"/><Relationship Id="rId51" Type="http://schemas.openxmlformats.org/officeDocument/2006/relationships/hyperlink" Target="about:blank" TargetMode="External"/><Relationship Id="rId72" Type="http://schemas.openxmlformats.org/officeDocument/2006/relationships/hyperlink" Target="https://www.dndbeyond.com/monsters/528870-assassin-devil-dogai" TargetMode="External"/><Relationship Id="rId80" Type="http://schemas.openxmlformats.org/officeDocument/2006/relationships/hyperlink" Target="https://www.dndbeyond.com/monsters/hill-giant" TargetMode="External"/><Relationship Id="rId3"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about:blank" TargetMode="External"/><Relationship Id="rId46" Type="http://schemas.openxmlformats.org/officeDocument/2006/relationships/hyperlink" Target="about:blank" TargetMode="External"/><Relationship Id="rId59" Type="http://schemas.openxmlformats.org/officeDocument/2006/relationships/hyperlink" Target="about:blank" TargetMode="External"/><Relationship Id="rId67" Type="http://schemas.openxmlformats.org/officeDocument/2006/relationships/hyperlink" Target="about:blank" TargetMode="External"/><Relationship Id="rId20" Type="http://schemas.openxmlformats.org/officeDocument/2006/relationships/hyperlink" Target="about:blank" TargetMode="External"/><Relationship Id="rId41" Type="http://schemas.openxmlformats.org/officeDocument/2006/relationships/hyperlink" Target="about:blank" TargetMode="External"/><Relationship Id="rId54" Type="http://schemas.openxmlformats.org/officeDocument/2006/relationships/hyperlink" Target="about:blank" TargetMode="External"/><Relationship Id="rId62" Type="http://schemas.openxmlformats.org/officeDocument/2006/relationships/hyperlink" Target="about:blank" TargetMode="External"/><Relationship Id="rId70" Type="http://schemas.openxmlformats.org/officeDocument/2006/relationships/hyperlink" Target="about:blank" TargetMode="External"/><Relationship Id="rId75" Type="http://schemas.openxmlformats.org/officeDocument/2006/relationships/hyperlink" Target="about:blank" TargetMode="External"/><Relationship Id="rId83" Type="http://schemas.openxmlformats.org/officeDocument/2006/relationships/drawing" Target="../drawings/drawing2.xml"/><Relationship Id="rId1" Type="http://schemas.openxmlformats.org/officeDocument/2006/relationships/hyperlink" Target="about:blank" TargetMode="External"/><Relationship Id="rId6"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36" Type="http://schemas.openxmlformats.org/officeDocument/2006/relationships/hyperlink" Target="about:blank" TargetMode="External"/><Relationship Id="rId49" Type="http://schemas.openxmlformats.org/officeDocument/2006/relationships/hyperlink" Target="about:blank" TargetMode="External"/><Relationship Id="rId57" Type="http://schemas.openxmlformats.org/officeDocument/2006/relationships/hyperlink" Target="about:blank" TargetMode="External"/><Relationship Id="rId10"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about:blank" TargetMode="External"/><Relationship Id="rId52" Type="http://schemas.openxmlformats.org/officeDocument/2006/relationships/hyperlink" Target="about:blank" TargetMode="External"/><Relationship Id="rId60" Type="http://schemas.openxmlformats.org/officeDocument/2006/relationships/hyperlink" Target="about:blank" TargetMode="External"/><Relationship Id="rId65" Type="http://schemas.openxmlformats.org/officeDocument/2006/relationships/hyperlink" Target="about:blank" TargetMode="External"/><Relationship Id="rId73" Type="http://schemas.openxmlformats.org/officeDocument/2006/relationships/hyperlink" Target="https://www.dndbeyond.com/monsters/528870-assassin-devil-dogai" TargetMode="External"/><Relationship Id="rId78" Type="http://schemas.openxmlformats.org/officeDocument/2006/relationships/hyperlink" Target="https://www.dndbeyond.com/monsters/hill-giant" TargetMode="External"/><Relationship Id="rId81" Type="http://schemas.openxmlformats.org/officeDocument/2006/relationships/hyperlink" Target="https://www.dndbeyond.com/monsters/hill-giant"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9" Type="http://schemas.openxmlformats.org/officeDocument/2006/relationships/hyperlink" Target="about:blank" TargetMode="External"/><Relationship Id="rId34" Type="http://schemas.openxmlformats.org/officeDocument/2006/relationships/hyperlink" Target="about:blank" TargetMode="External"/><Relationship Id="rId50" Type="http://schemas.openxmlformats.org/officeDocument/2006/relationships/hyperlink" Target="about:blank" TargetMode="External"/><Relationship Id="rId55" Type="http://schemas.openxmlformats.org/officeDocument/2006/relationships/hyperlink" Target="about:blank" TargetMode="External"/><Relationship Id="rId76" Type="http://schemas.openxmlformats.org/officeDocument/2006/relationships/hyperlink" Target="about:blank" TargetMode="External"/><Relationship Id="rId7" Type="http://schemas.openxmlformats.org/officeDocument/2006/relationships/hyperlink" Target="about:blank" TargetMode="External"/><Relationship Id="rId71" Type="http://schemas.openxmlformats.org/officeDocument/2006/relationships/hyperlink" Target="https://www.dndbeyond.com/monsters/528870-assassin-devil-dogai" TargetMode="External"/><Relationship Id="rId2" Type="http://schemas.openxmlformats.org/officeDocument/2006/relationships/hyperlink" Target="about:blank" TargetMode="External"/><Relationship Id="rId29" Type="http://schemas.openxmlformats.org/officeDocument/2006/relationships/hyperlink" Target="about:blank" TargetMode="External"/><Relationship Id="rId24" Type="http://schemas.openxmlformats.org/officeDocument/2006/relationships/hyperlink" Target="about:blank" TargetMode="External"/><Relationship Id="rId40" Type="http://schemas.openxmlformats.org/officeDocument/2006/relationships/hyperlink" Target="about:blank" TargetMode="External"/><Relationship Id="rId45" Type="http://schemas.openxmlformats.org/officeDocument/2006/relationships/hyperlink" Target="about:blank" TargetMode="External"/><Relationship Id="rId66"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U27" sqref="U27"/>
    </sheetView>
  </sheetViews>
  <sheetFormatPr baseColWidth="10" defaultColWidth="8.83203125" defaultRowHeight="13" x14ac:dyDescent="0.1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18"/>
  <sheetViews>
    <sheetView showGridLines="0" zoomScaleNormal="10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1640625" defaultRowHeight="13" outlineLevelRow="1" x14ac:dyDescent="0.15"/>
  <cols>
    <col min="1" max="1" width="9.1640625" style="57"/>
    <col min="2" max="2" width="55" style="57" bestFit="1" customWidth="1"/>
    <col min="3" max="4" width="34.6640625" style="57" customWidth="1"/>
    <col min="5" max="5" width="9.1640625" style="57"/>
    <col min="6" max="6" width="22" style="57" customWidth="1"/>
    <col min="7" max="16384" width="9.1640625" style="57"/>
  </cols>
  <sheetData>
    <row r="1" spans="2:4" ht="6" customHeight="1" x14ac:dyDescent="0.15"/>
    <row r="2" spans="2:4" ht="42" x14ac:dyDescent="0.15">
      <c r="C2" s="87" t="s">
        <v>259</v>
      </c>
      <c r="D2" s="88" t="s">
        <v>428</v>
      </c>
    </row>
    <row r="3" spans="2:4" ht="20.25" customHeight="1" x14ac:dyDescent="0.15">
      <c r="B3" s="241" t="s">
        <v>6</v>
      </c>
      <c r="C3" s="86">
        <v>780</v>
      </c>
      <c r="D3" s="86">
        <v>384</v>
      </c>
    </row>
    <row r="4" spans="2:4" hidden="1" outlineLevel="1" x14ac:dyDescent="0.15">
      <c r="B4" s="232"/>
      <c r="C4" s="233">
        <f>IF(cNumTroops1&gt;cNumTroops2,VLOOKUP(cNumTroops1/cNumTroops2,tRatio,2,TRUE),0)</f>
        <v>30</v>
      </c>
      <c r="D4" s="233">
        <f>IF(cNumTroops2&gt;cNumTroops1,VLOOKUP(cNumTroops2/cNumTroops1,tRatio,2,TRUE),0)</f>
        <v>0</v>
      </c>
    </row>
    <row r="5" spans="2:4" ht="20.25" customHeight="1" collapsed="1" x14ac:dyDescent="0.15">
      <c r="B5" s="241" t="s">
        <v>185</v>
      </c>
      <c r="C5" s="86">
        <f>HLOOKUP(cForce1,tUnitsStats,27,FALSE)</f>
        <v>27</v>
      </c>
      <c r="D5" s="86">
        <v>500</v>
      </c>
    </row>
    <row r="6" spans="2:4" ht="20.25" customHeight="1" x14ac:dyDescent="0.15">
      <c r="B6" s="241" t="s">
        <v>186</v>
      </c>
      <c r="C6" s="86" t="s">
        <v>36</v>
      </c>
      <c r="D6" s="86" t="s">
        <v>36</v>
      </c>
    </row>
    <row r="7" spans="2:4" hidden="1" outlineLevel="1" x14ac:dyDescent="0.15">
      <c r="B7" s="235"/>
      <c r="C7" s="236">
        <v>3</v>
      </c>
      <c r="D7" s="236">
        <v>3</v>
      </c>
    </row>
    <row r="8" spans="2:4" ht="20.25" customHeight="1" collapsed="1" x14ac:dyDescent="0.15">
      <c r="B8" s="241" t="s">
        <v>194</v>
      </c>
      <c r="C8" s="86">
        <f>HLOOKUP(cForce1,tUnitsStats,39,FALSE)</f>
        <v>27</v>
      </c>
      <c r="D8" s="86">
        <f>HLOOKUP(cForce2,tUnitsStats,39,FALSE)</f>
        <v>50</v>
      </c>
    </row>
    <row r="9" spans="2:4" ht="6" customHeight="1" x14ac:dyDescent="0.15"/>
    <row r="10" spans="2:4" ht="18" customHeight="1" x14ac:dyDescent="0.15">
      <c r="B10" s="281" t="s">
        <v>303</v>
      </c>
      <c r="C10" s="281"/>
      <c r="D10" s="281"/>
    </row>
    <row r="11" spans="2:4" ht="18" customHeight="1" thickBot="1" x14ac:dyDescent="0.2">
      <c r="B11" s="242" t="s">
        <v>304</v>
      </c>
      <c r="C11" s="243">
        <f ca="1">C8+C4+C28+C41+C48+C62+C71+C88+C102+C113+C117</f>
        <v>57</v>
      </c>
      <c r="D11" s="243">
        <f ca="1">D8+D4+D28+D41+D48+D62+D71+D88+D102+D113+D117</f>
        <v>50</v>
      </c>
    </row>
    <row r="12" spans="2:4" ht="18" customHeight="1" thickTop="1" thickBot="1" x14ac:dyDescent="0.2">
      <c r="B12" s="85" t="s">
        <v>305</v>
      </c>
      <c r="C12" s="245">
        <v>11</v>
      </c>
      <c r="D12" s="245">
        <v>11</v>
      </c>
    </row>
    <row r="13" spans="2:4" ht="18" customHeight="1" thickTop="1" x14ac:dyDescent="0.15">
      <c r="B13" s="242" t="s">
        <v>306</v>
      </c>
      <c r="C13" s="243">
        <f ca="1">C11+5*C12</f>
        <v>112</v>
      </c>
      <c r="D13" s="243">
        <f ca="1">D11+5*D12</f>
        <v>105</v>
      </c>
    </row>
    <row r="14" spans="2:4" hidden="1" outlineLevel="1" x14ac:dyDescent="0.15">
      <c r="B14" s="232" t="s">
        <v>315</v>
      </c>
      <c r="C14" s="233">
        <f ca="1">ABS(C13-D13)</f>
        <v>7</v>
      </c>
      <c r="D14" s="233" t="b">
        <f ca="1">C13&gt;D13</f>
        <v>1</v>
      </c>
    </row>
    <row r="15" spans="2:4" ht="18" customHeight="1" collapsed="1" x14ac:dyDescent="0.15">
      <c r="B15" s="242" t="s">
        <v>317</v>
      </c>
      <c r="C15" s="247" t="str">
        <f ca="1">IF(D14,"Winner","Loser")</f>
        <v>Winner</v>
      </c>
      <c r="D15" s="247" t="str">
        <f ca="1">IF(D14,"Loser","Winner")</f>
        <v>Loser</v>
      </c>
    </row>
    <row r="16" spans="2:4" hidden="1" outlineLevel="1" x14ac:dyDescent="0.15">
      <c r="B16" s="232" t="s">
        <v>314</v>
      </c>
      <c r="C16" s="244">
        <f ca="1">MAX(0,MIN(100,(VLOOKUP(C14,tCombatResults,2+IF(D14,0,1))+C27)*IF(AND(NOT(D14),D30="Yes"),0.5,1)))/100</f>
        <v>0.11</v>
      </c>
      <c r="D16" s="244">
        <f ca="1">MAX(0,MIN(100,(VLOOKUP(C14,tCombatResults,2+IF(D14,1,0))+D27)*IF(AND(D14,C30="Yes"),0.5,1)))/100</f>
        <v>0.2</v>
      </c>
    </row>
    <row r="17" spans="2:4" hidden="1" outlineLevel="1" x14ac:dyDescent="0.15">
      <c r="B17" s="232" t="s">
        <v>112</v>
      </c>
      <c r="C17" s="240">
        <f ca="1">ROUND((cNumTroops1*C16/2)*IF(OR(D30="Yes",LEFT(C21,1)="F"),1,0),0)</f>
        <v>43</v>
      </c>
      <c r="D17" s="240">
        <f ca="1">ROUND((cNumTroops2*D16/2)*IF(OR(C30="Yes",LEFT(D21,1)="F"),1,0),0)</f>
        <v>0</v>
      </c>
    </row>
    <row r="18" spans="2:4" hidden="1" outlineLevel="1" x14ac:dyDescent="0.15">
      <c r="B18" s="232" t="s">
        <v>319</v>
      </c>
      <c r="C18" s="240">
        <f ca="1">ROUND((cNumTroops1*C16/2)*IF(OR(D30="Yes",LEFT(C21,1)="F"),1,2),0)</f>
        <v>43</v>
      </c>
      <c r="D18" s="240">
        <f ca="1">ROUND((cNumTroops2*D16/2)*IF(OR(C30="Yes",LEFT(D21,1)="F"),1,2),0)</f>
        <v>77</v>
      </c>
    </row>
    <row r="19" spans="2:4" ht="18" customHeight="1" collapsed="1" x14ac:dyDescent="0.15">
      <c r="B19" s="242" t="s">
        <v>43</v>
      </c>
      <c r="C19" s="243" t="str">
        <f ca="1">C18&amp;" killed"&amp;IF(C17&gt;0,", "&amp;C17&amp;" wounded","")&amp;", "&amp;cNumTroops1-C17-C18&amp;" remaining"</f>
        <v>43 killed, 43 wounded, 694 remaining</v>
      </c>
      <c r="D19" s="243" t="str">
        <f ca="1">D18&amp;" killed"&amp;IF(D17&gt;0,", "&amp;D17&amp;" wounded","")&amp;", "&amp;cNumTroops2-D17-D18&amp;" remaining"</f>
        <v>77 killed, 307 remaining</v>
      </c>
    </row>
    <row r="20" spans="2:4" ht="18" customHeight="1" x14ac:dyDescent="0.15">
      <c r="B20" s="242" t="s">
        <v>320</v>
      </c>
      <c r="C20" s="249">
        <f ca="1">VLOOKUP(C14,tCombatResults,4+IF(D14,0,1))</f>
        <v>0</v>
      </c>
      <c r="D20" s="249">
        <f ca="1">VLOOKUP(C14,tCombatResults,4+IF(D14,1,0))</f>
        <v>0</v>
      </c>
    </row>
    <row r="21" spans="2:4" hidden="1" outlineLevel="1" x14ac:dyDescent="0.15">
      <c r="B21" s="232" t="s">
        <v>95</v>
      </c>
      <c r="C21" s="240" t="str">
        <f ca="1">VLOOKUP(C14,tCombatResults,6+IF(D14,0,1),TRUE)</f>
        <v>F</v>
      </c>
      <c r="D21" s="240" t="str">
        <f ca="1">VLOOKUP(C14,tCombatResults,6+IF(D14,1,0),TRUE)</f>
        <v>B</v>
      </c>
    </row>
    <row r="22" spans="2:4" ht="28" collapsed="1" x14ac:dyDescent="0.15">
      <c r="B22" s="242" t="s">
        <v>95</v>
      </c>
      <c r="C22" s="248" t="str">
        <f ca="1">VLOOKUP(C21,tLocationResults,2,FALSE)</f>
        <v>The force holds the battlefield after the battle.</v>
      </c>
      <c r="D22" s="248" t="str">
        <f ca="1">VLOOKUP(D21,tLocationResults,2,FALSE)</f>
        <v>The force must retreat from the field.</v>
      </c>
    </row>
    <row r="23" spans="2:4" ht="6" customHeight="1" x14ac:dyDescent="0.15"/>
    <row r="24" spans="2:4" ht="18" customHeight="1" thickBot="1" x14ac:dyDescent="0.2">
      <c r="B24" s="280" t="s">
        <v>128</v>
      </c>
      <c r="C24" s="280"/>
      <c r="D24" s="280"/>
    </row>
    <row r="25" spans="2:4" ht="18" customHeight="1" thickTop="1" thickBot="1" x14ac:dyDescent="0.2">
      <c r="B25" s="85" t="s">
        <v>297</v>
      </c>
      <c r="C25" s="245" t="s">
        <v>126</v>
      </c>
      <c r="D25" s="245" t="s">
        <v>126</v>
      </c>
    </row>
    <row r="26" spans="2:4" ht="14" hidden="1" outlineLevel="1" thickTop="1" x14ac:dyDescent="0.15">
      <c r="B26" s="234" t="s">
        <v>298</v>
      </c>
      <c r="C26" s="240">
        <f>MATCH(C25,tTacticsList,0)</f>
        <v>2</v>
      </c>
      <c r="D26" s="240">
        <f>MATCH(D25,tTacticsList,0)</f>
        <v>2</v>
      </c>
    </row>
    <row r="27" spans="2:4" hidden="1" outlineLevel="1" x14ac:dyDescent="0.15">
      <c r="B27" s="237" t="s">
        <v>299</v>
      </c>
      <c r="C27" s="238">
        <f ca="1">OFFSET(tTacticsCasualties,Test!D26,Test!C26)</f>
        <v>10</v>
      </c>
      <c r="D27" s="238">
        <f ca="1">OFFSET(tTacticsCasualties,Test!C26,Test!D26)</f>
        <v>10</v>
      </c>
    </row>
    <row r="28" spans="2:4" hidden="1" outlineLevel="1" x14ac:dyDescent="0.15">
      <c r="B28" s="237" t="s">
        <v>80</v>
      </c>
      <c r="C28" s="238">
        <f ca="1">OFFSET(tTacticsBonus,Test!D26,Test!C26)</f>
        <v>0</v>
      </c>
      <c r="D28" s="238">
        <f ca="1">OFFSET(tTacticsBonus,Test!C26,Test!D26)</f>
        <v>0</v>
      </c>
    </row>
    <row r="29" spans="2:4" ht="14" hidden="1" outlineLevel="1" thickBot="1" x14ac:dyDescent="0.2">
      <c r="B29" s="237" t="s">
        <v>301</v>
      </c>
      <c r="C29" s="238">
        <f ca="1">OFFSET(tTacticsEffects,Test!D26,Test!C26)</f>
        <v>0</v>
      </c>
      <c r="D29" s="238">
        <f ca="1">OFFSET(tTacticsEffects,Test!C26,Test!D26)</f>
        <v>0</v>
      </c>
    </row>
    <row r="30" spans="2:4" ht="18" customHeight="1" collapsed="1" thickTop="1" thickBot="1" x14ac:dyDescent="0.2">
      <c r="B30" s="85" t="s">
        <v>316</v>
      </c>
      <c r="C30" s="246" t="s">
        <v>200</v>
      </c>
      <c r="D30" s="246" t="s">
        <v>200</v>
      </c>
    </row>
    <row r="31" spans="2:4" ht="6" customHeight="1" thickTop="1" x14ac:dyDescent="0.15"/>
    <row r="32" spans="2:4" ht="18" customHeight="1" x14ac:dyDescent="0.15">
      <c r="B32" s="280" t="s">
        <v>307</v>
      </c>
      <c r="C32" s="280"/>
      <c r="D32" s="280"/>
    </row>
    <row r="33" spans="2:4" ht="18" customHeight="1" x14ac:dyDescent="0.15">
      <c r="B33" s="85" t="s">
        <v>311</v>
      </c>
      <c r="C33" s="93" t="s">
        <v>200</v>
      </c>
      <c r="D33" s="93" t="s">
        <v>200</v>
      </c>
    </row>
    <row r="34" spans="2:4" hidden="1" outlineLevel="1" x14ac:dyDescent="0.15">
      <c r="B34" s="232"/>
      <c r="C34" s="233">
        <f>IF(C33="Yes",50,0)</f>
        <v>0</v>
      </c>
      <c r="D34" s="233">
        <f>IF(D33="Yes",50,0)</f>
        <v>0</v>
      </c>
    </row>
    <row r="35" spans="2:4" ht="18" customHeight="1" collapsed="1" x14ac:dyDescent="0.15">
      <c r="B35" s="85" t="s">
        <v>312</v>
      </c>
      <c r="C35" s="93" t="s">
        <v>200</v>
      </c>
      <c r="D35" s="93" t="s">
        <v>200</v>
      </c>
    </row>
    <row r="36" spans="2:4" hidden="1" outlineLevel="1" x14ac:dyDescent="0.15">
      <c r="B36" s="232"/>
      <c r="C36" s="233">
        <f>IF(C35="Yes",20,0)</f>
        <v>0</v>
      </c>
      <c r="D36" s="233">
        <f>IF(D35="Yes",20,0)</f>
        <v>0</v>
      </c>
    </row>
    <row r="37" spans="2:4" ht="18" customHeight="1" collapsed="1" x14ac:dyDescent="0.15">
      <c r="B37" s="85" t="s">
        <v>313</v>
      </c>
      <c r="C37" s="93" t="s">
        <v>200</v>
      </c>
      <c r="D37" s="93" t="s">
        <v>200</v>
      </c>
    </row>
    <row r="38" spans="2:4" hidden="1" outlineLevel="1" x14ac:dyDescent="0.15">
      <c r="B38" s="232"/>
      <c r="C38" s="233">
        <f>IF(C37="Yes",10,0)</f>
        <v>0</v>
      </c>
      <c r="D38" s="233">
        <f>IF(D37="Yes",10,0)</f>
        <v>0</v>
      </c>
    </row>
    <row r="39" spans="2:4" ht="18" customHeight="1" collapsed="1" x14ac:dyDescent="0.15">
      <c r="B39" s="85" t="s">
        <v>308</v>
      </c>
      <c r="C39" s="93" t="s">
        <v>200</v>
      </c>
      <c r="D39" s="93" t="s">
        <v>200</v>
      </c>
    </row>
    <row r="40" spans="2:4" hidden="1" outlineLevel="1" x14ac:dyDescent="0.15">
      <c r="B40" s="232"/>
      <c r="C40" s="233">
        <f>IF(C39="Yes",-25,0)</f>
        <v>0</v>
      </c>
      <c r="D40" s="233">
        <f>IF(D39="Yes",-25,0)</f>
        <v>0</v>
      </c>
    </row>
    <row r="41" spans="2:4" hidden="1" outlineLevel="1" x14ac:dyDescent="0.15">
      <c r="B41" s="237"/>
      <c r="C41" s="238">
        <f>C34+C36+C38+C40</f>
        <v>0</v>
      </c>
      <c r="D41" s="238">
        <f>D34+D36+D38+D40</f>
        <v>0</v>
      </c>
    </row>
    <row r="42" spans="2:4" ht="6" customHeight="1" collapsed="1" x14ac:dyDescent="0.15"/>
    <row r="43" spans="2:4" ht="18" customHeight="1" x14ac:dyDescent="0.15">
      <c r="B43" s="280" t="s">
        <v>61</v>
      </c>
      <c r="C43" s="280"/>
      <c r="D43" s="280"/>
    </row>
    <row r="44" spans="2:4" ht="18" customHeight="1" x14ac:dyDescent="0.15">
      <c r="B44" s="85" t="s">
        <v>309</v>
      </c>
      <c r="C44" s="93" t="s">
        <v>200</v>
      </c>
      <c r="D44" s="93" t="s">
        <v>200</v>
      </c>
    </row>
    <row r="45" spans="2:4" hidden="1" outlineLevel="1" x14ac:dyDescent="0.15">
      <c r="B45" s="232"/>
      <c r="C45" s="233">
        <f>IF(C44="Yes",40,0)</f>
        <v>0</v>
      </c>
      <c r="D45" s="233">
        <f>IF(D44="Yes",40,0)</f>
        <v>0</v>
      </c>
    </row>
    <row r="46" spans="2:4" ht="18" customHeight="1" collapsed="1" x14ac:dyDescent="0.15">
      <c r="B46" s="85" t="s">
        <v>310</v>
      </c>
      <c r="C46" s="93" t="s">
        <v>200</v>
      </c>
      <c r="D46" s="93" t="s">
        <v>200</v>
      </c>
    </row>
    <row r="47" spans="2:4" hidden="1" outlineLevel="1" x14ac:dyDescent="0.15">
      <c r="B47" s="232"/>
      <c r="C47" s="233">
        <f>IF(C46="Yes",20,0)</f>
        <v>0</v>
      </c>
      <c r="D47" s="233">
        <f>IF(D46="Yes",20,0)</f>
        <v>0</v>
      </c>
    </row>
    <row r="48" spans="2:4" hidden="1" outlineLevel="1" x14ac:dyDescent="0.15">
      <c r="B48" s="237"/>
      <c r="C48" s="238">
        <f>C45+C47</f>
        <v>0</v>
      </c>
      <c r="D48" s="238">
        <f>D45+D47</f>
        <v>0</v>
      </c>
    </row>
    <row r="49" spans="2:4" ht="6" customHeight="1" collapsed="1" x14ac:dyDescent="0.15"/>
    <row r="50" spans="2:4" ht="18" customHeight="1" x14ac:dyDescent="0.15">
      <c r="B50" s="280" t="s">
        <v>58</v>
      </c>
      <c r="C50" s="280"/>
      <c r="D50" s="280"/>
    </row>
    <row r="51" spans="2:4" hidden="1" outlineLevel="1" x14ac:dyDescent="0.15">
      <c r="B51" s="234" t="s">
        <v>290</v>
      </c>
      <c r="C51" s="233">
        <f>IF(C7&gt;D7,(C7-D7)*5,0)</f>
        <v>0</v>
      </c>
      <c r="D51" s="233">
        <f>IF(D7&gt;C7,(D7-C7)*5,0)</f>
        <v>0</v>
      </c>
    </row>
    <row r="52" spans="2:4" ht="18" customHeight="1" collapsed="1" x14ac:dyDescent="0.15">
      <c r="B52" s="85" t="s">
        <v>196</v>
      </c>
      <c r="C52" s="93" t="s">
        <v>200</v>
      </c>
      <c r="D52" s="93" t="s">
        <v>200</v>
      </c>
    </row>
    <row r="53" spans="2:4" hidden="1" outlineLevel="1" x14ac:dyDescent="0.15">
      <c r="B53" s="232"/>
      <c r="C53" s="233">
        <f>IF(C52="Yes",10,0)</f>
        <v>0</v>
      </c>
      <c r="D53" s="233">
        <f>IF(D52="Yes",10,0)</f>
        <v>0</v>
      </c>
    </row>
    <row r="54" spans="2:4" ht="18" customHeight="1" collapsed="1" x14ac:dyDescent="0.15">
      <c r="B54" s="85" t="s">
        <v>201</v>
      </c>
      <c r="C54" s="93" t="s">
        <v>200</v>
      </c>
      <c r="D54" s="93" t="s">
        <v>200</v>
      </c>
    </row>
    <row r="55" spans="2:4" hidden="1" outlineLevel="1" x14ac:dyDescent="0.15">
      <c r="B55" s="232"/>
      <c r="C55" s="233">
        <f>IF(C54="Yes",10,0)</f>
        <v>0</v>
      </c>
      <c r="D55" s="233">
        <f>IF(D54="Yes",10,0)</f>
        <v>0</v>
      </c>
    </row>
    <row r="56" spans="2:4" ht="18" customHeight="1" collapsed="1" x14ac:dyDescent="0.15">
      <c r="B56" s="85" t="s">
        <v>202</v>
      </c>
      <c r="C56" s="93" t="s">
        <v>200</v>
      </c>
      <c r="D56" s="93" t="s">
        <v>200</v>
      </c>
    </row>
    <row r="57" spans="2:4" hidden="1" outlineLevel="1" x14ac:dyDescent="0.15">
      <c r="B57" s="232"/>
      <c r="C57" s="233">
        <f>IF(C56="Yes",-20,0)</f>
        <v>0</v>
      </c>
      <c r="D57" s="233">
        <f>IF(D56="Yes",-20,0)</f>
        <v>0</v>
      </c>
    </row>
    <row r="58" spans="2:4" ht="18" customHeight="1" collapsed="1" x14ac:dyDescent="0.15">
      <c r="B58" s="85" t="s">
        <v>197</v>
      </c>
      <c r="C58" s="93" t="s">
        <v>200</v>
      </c>
      <c r="D58" s="93" t="s">
        <v>200</v>
      </c>
    </row>
    <row r="59" spans="2:4" hidden="1" outlineLevel="1" x14ac:dyDescent="0.15">
      <c r="B59" s="232"/>
      <c r="C59" s="233">
        <f>IF(C58="Yes",30,0)</f>
        <v>0</v>
      </c>
      <c r="D59" s="233">
        <f>IF(D58="Yes",30,0)</f>
        <v>0</v>
      </c>
    </row>
    <row r="60" spans="2:4" ht="18" customHeight="1" collapsed="1" x14ac:dyDescent="0.15">
      <c r="B60" s="85" t="s">
        <v>198</v>
      </c>
      <c r="C60" s="93" t="s">
        <v>200</v>
      </c>
      <c r="D60" s="93" t="s">
        <v>200</v>
      </c>
    </row>
    <row r="61" spans="2:4" hidden="1" outlineLevel="1" x14ac:dyDescent="0.15">
      <c r="B61" s="232"/>
      <c r="C61" s="233">
        <f>IF(C60="Yes",-10,0)</f>
        <v>0</v>
      </c>
      <c r="D61" s="233">
        <f>IF(D60="Yes",-10,0)</f>
        <v>0</v>
      </c>
    </row>
    <row r="62" spans="2:4" hidden="1" outlineLevel="1" x14ac:dyDescent="0.15">
      <c r="B62" s="237"/>
      <c r="C62" s="238">
        <f>C51+C53+C55+C57+C59+C61</f>
        <v>0</v>
      </c>
      <c r="D62" s="238">
        <f>D51+D53+D55+D57+D59+D61</f>
        <v>0</v>
      </c>
    </row>
    <row r="63" spans="2:4" ht="6" customHeight="1" collapsed="1" x14ac:dyDescent="0.15"/>
    <row r="64" spans="2:4" ht="18" customHeight="1" x14ac:dyDescent="0.15">
      <c r="B64" s="280" t="s">
        <v>61</v>
      </c>
      <c r="C64" s="280"/>
      <c r="D64" s="280"/>
    </row>
    <row r="65" spans="2:4" ht="18" customHeight="1" x14ac:dyDescent="0.15">
      <c r="B65" s="85" t="s">
        <v>204</v>
      </c>
      <c r="C65" s="93" t="s">
        <v>200</v>
      </c>
      <c r="D65" s="93" t="s">
        <v>200</v>
      </c>
    </row>
    <row r="66" spans="2:4" hidden="1" outlineLevel="1" x14ac:dyDescent="0.15">
      <c r="B66" s="232"/>
      <c r="C66" s="233">
        <f>IF(C65="Yes",25,0)</f>
        <v>0</v>
      </c>
      <c r="D66" s="233">
        <f>IF(D65="Yes",25,0)</f>
        <v>0</v>
      </c>
    </row>
    <row r="67" spans="2:4" ht="18" customHeight="1" collapsed="1" x14ac:dyDescent="0.15">
      <c r="B67" s="85" t="s">
        <v>205</v>
      </c>
      <c r="C67" s="93" t="s">
        <v>200</v>
      </c>
      <c r="D67" s="93" t="s">
        <v>200</v>
      </c>
    </row>
    <row r="68" spans="2:4" hidden="1" outlineLevel="1" x14ac:dyDescent="0.15">
      <c r="B68" s="232"/>
      <c r="C68" s="233">
        <f>IF(C67="Yes",-25,0)</f>
        <v>0</v>
      </c>
      <c r="D68" s="233">
        <f>IF(D67="Yes",-25,0)</f>
        <v>0</v>
      </c>
    </row>
    <row r="69" spans="2:4" ht="18" customHeight="1" collapsed="1" x14ac:dyDescent="0.15">
      <c r="B69" s="85" t="s">
        <v>224</v>
      </c>
      <c r="C69" s="93" t="s">
        <v>200</v>
      </c>
      <c r="D69" s="93" t="s">
        <v>200</v>
      </c>
    </row>
    <row r="70" spans="2:4" hidden="1" outlineLevel="1" x14ac:dyDescent="0.15">
      <c r="B70" s="232"/>
      <c r="C70" s="233">
        <f>IF(C69="Yes",20,0)</f>
        <v>0</v>
      </c>
      <c r="D70" s="233">
        <f>IF(D69="Yes",20,0)</f>
        <v>0</v>
      </c>
    </row>
    <row r="71" spans="2:4" hidden="1" outlineLevel="1" x14ac:dyDescent="0.15">
      <c r="B71" s="237"/>
      <c r="C71" s="238">
        <f>C66+C68+C70</f>
        <v>0</v>
      </c>
      <c r="D71" s="238">
        <f>D66+D68+D70</f>
        <v>0</v>
      </c>
    </row>
    <row r="72" spans="2:4" ht="6" customHeight="1" collapsed="1" x14ac:dyDescent="0.15"/>
    <row r="73" spans="2:4" ht="18" customHeight="1" x14ac:dyDescent="0.15">
      <c r="B73" s="280" t="s">
        <v>74</v>
      </c>
      <c r="C73" s="280"/>
      <c r="D73" s="280"/>
    </row>
    <row r="74" spans="2:4" ht="18" customHeight="1" x14ac:dyDescent="0.15">
      <c r="B74" s="85" t="s">
        <v>206</v>
      </c>
      <c r="C74" s="93" t="s">
        <v>200</v>
      </c>
      <c r="D74" s="93" t="s">
        <v>200</v>
      </c>
    </row>
    <row r="75" spans="2:4" hidden="1" outlineLevel="1" x14ac:dyDescent="0.15">
      <c r="B75" s="232"/>
      <c r="C75" s="233">
        <f>IF(C74="Yes",20,0)</f>
        <v>0</v>
      </c>
      <c r="D75" s="233">
        <f>IF(D74="Yes",20,0)</f>
        <v>0</v>
      </c>
    </row>
    <row r="76" spans="2:4" ht="18" customHeight="1" collapsed="1" x14ac:dyDescent="0.15">
      <c r="B76" s="85" t="s">
        <v>207</v>
      </c>
      <c r="C76" s="93" t="s">
        <v>200</v>
      </c>
      <c r="D76" s="93" t="s">
        <v>200</v>
      </c>
    </row>
    <row r="77" spans="2:4" hidden="1" outlineLevel="1" x14ac:dyDescent="0.15">
      <c r="B77" s="232"/>
      <c r="C77" s="233">
        <f>IF(C76="Yes",20,0)</f>
        <v>0</v>
      </c>
      <c r="D77" s="233">
        <f>IF(D76="Yes",20,0)</f>
        <v>0</v>
      </c>
    </row>
    <row r="78" spans="2:4" ht="18" customHeight="1" collapsed="1" x14ac:dyDescent="0.15">
      <c r="B78" s="85" t="s">
        <v>208</v>
      </c>
      <c r="C78" s="93" t="s">
        <v>200</v>
      </c>
      <c r="D78" s="93" t="s">
        <v>200</v>
      </c>
    </row>
    <row r="79" spans="2:4" hidden="1" outlineLevel="1" x14ac:dyDescent="0.15">
      <c r="B79" s="232"/>
      <c r="C79" s="233">
        <f>IF(C78="Yes",10,0)</f>
        <v>0</v>
      </c>
      <c r="D79" s="233">
        <f>IF(D78="Yes",10,0)</f>
        <v>0</v>
      </c>
    </row>
    <row r="80" spans="2:4" ht="18" customHeight="1" collapsed="1" x14ac:dyDescent="0.15">
      <c r="B80" s="85" t="s">
        <v>209</v>
      </c>
      <c r="C80" s="93" t="s">
        <v>200</v>
      </c>
      <c r="D80" s="93" t="s">
        <v>200</v>
      </c>
    </row>
    <row r="81" spans="2:4" hidden="1" outlineLevel="1" x14ac:dyDescent="0.15">
      <c r="B81" s="232"/>
      <c r="C81" s="233">
        <f>IF(C80="Yes",20,0)</f>
        <v>0</v>
      </c>
      <c r="D81" s="233">
        <f>IF(D80="Yes",20,0)</f>
        <v>0</v>
      </c>
    </row>
    <row r="82" spans="2:4" ht="18" customHeight="1" collapsed="1" x14ac:dyDescent="0.15">
      <c r="B82" s="85" t="s">
        <v>210</v>
      </c>
      <c r="C82" s="93" t="s">
        <v>200</v>
      </c>
      <c r="D82" s="93" t="s">
        <v>200</v>
      </c>
    </row>
    <row r="83" spans="2:4" hidden="1" outlineLevel="1" x14ac:dyDescent="0.15">
      <c r="B83" s="232"/>
      <c r="C83" s="233">
        <f>IF(C82="Yes",-20,0)</f>
        <v>0</v>
      </c>
      <c r="D83" s="233">
        <f>IF(D82="Yes",-20,0)</f>
        <v>0</v>
      </c>
    </row>
    <row r="84" spans="2:4" ht="18" customHeight="1" collapsed="1" x14ac:dyDescent="0.15">
      <c r="B84" s="85" t="s">
        <v>211</v>
      </c>
      <c r="C84" s="93" t="s">
        <v>200</v>
      </c>
      <c r="D84" s="93" t="s">
        <v>200</v>
      </c>
    </row>
    <row r="85" spans="2:4" hidden="1" outlineLevel="1" x14ac:dyDescent="0.15">
      <c r="B85" s="232"/>
      <c r="C85" s="233">
        <f>IF(C84="Yes",-20,0)</f>
        <v>0</v>
      </c>
      <c r="D85" s="233">
        <f>IF(D84="Yes",-20,0)</f>
        <v>0</v>
      </c>
    </row>
    <row r="86" spans="2:4" ht="18" customHeight="1" collapsed="1" x14ac:dyDescent="0.15">
      <c r="B86" s="85" t="s">
        <v>212</v>
      </c>
      <c r="C86" s="93" t="s">
        <v>200</v>
      </c>
      <c r="D86" s="93" t="s">
        <v>200</v>
      </c>
    </row>
    <row r="87" spans="2:4" hidden="1" outlineLevel="1" x14ac:dyDescent="0.15">
      <c r="B87" s="232"/>
      <c r="C87" s="233">
        <f>IF(C86="Yes",-10,0)</f>
        <v>0</v>
      </c>
      <c r="D87" s="233">
        <f>IF(D86="Yes",-10,0)</f>
        <v>0</v>
      </c>
    </row>
    <row r="88" spans="2:4" hidden="1" outlineLevel="1" x14ac:dyDescent="0.15">
      <c r="B88" s="237"/>
      <c r="C88" s="238">
        <f>C75+C77+C79+C81+C83+C85+C87</f>
        <v>0</v>
      </c>
      <c r="D88" s="238">
        <f>D75+D77+D79+D81+D83+D85+D87</f>
        <v>0</v>
      </c>
    </row>
    <row r="89" spans="2:4" ht="6" customHeight="1" collapsed="1" x14ac:dyDescent="0.15"/>
    <row r="90" spans="2:4" ht="18" customHeight="1" x14ac:dyDescent="0.15">
      <c r="B90" s="280" t="s">
        <v>213</v>
      </c>
      <c r="C90" s="280"/>
      <c r="D90" s="280"/>
    </row>
    <row r="91" spans="2:4" ht="18" customHeight="1" x14ac:dyDescent="0.15">
      <c r="B91" s="85" t="s">
        <v>214</v>
      </c>
      <c r="C91" s="93" t="s">
        <v>200</v>
      </c>
      <c r="D91" s="93" t="s">
        <v>200</v>
      </c>
    </row>
    <row r="92" spans="2:4" hidden="1" outlineLevel="1" x14ac:dyDescent="0.15">
      <c r="B92" s="232"/>
      <c r="C92" s="233">
        <f>IF(C91="Yes",10,0)</f>
        <v>0</v>
      </c>
      <c r="D92" s="233">
        <f>IF(D91="Yes",10,0)</f>
        <v>0</v>
      </c>
    </row>
    <row r="93" spans="2:4" ht="18" customHeight="1" collapsed="1" x14ac:dyDescent="0.15">
      <c r="B93" s="85" t="s">
        <v>215</v>
      </c>
      <c r="C93" s="93" t="s">
        <v>200</v>
      </c>
      <c r="D93" s="93" t="s">
        <v>200</v>
      </c>
    </row>
    <row r="94" spans="2:4" hidden="1" outlineLevel="1" x14ac:dyDescent="0.15">
      <c r="B94" s="232"/>
      <c r="C94" s="233">
        <f>IF(C93="Yes",50,0)</f>
        <v>0</v>
      </c>
      <c r="D94" s="233">
        <f>IF(D93="Yes",50,0)</f>
        <v>0</v>
      </c>
    </row>
    <row r="95" spans="2:4" ht="18" customHeight="1" collapsed="1" x14ac:dyDescent="0.15">
      <c r="B95" s="85" t="s">
        <v>216</v>
      </c>
      <c r="C95" s="93" t="s">
        <v>200</v>
      </c>
      <c r="D95" s="93" t="s">
        <v>200</v>
      </c>
    </row>
    <row r="96" spans="2:4" hidden="1" outlineLevel="1" x14ac:dyDescent="0.15">
      <c r="B96" s="232"/>
      <c r="C96" s="233">
        <f>IF(C95="Yes",40,0)</f>
        <v>0</v>
      </c>
      <c r="D96" s="233">
        <f>IF(D95="Yes",40,0)</f>
        <v>0</v>
      </c>
    </row>
    <row r="97" spans="2:4" ht="18" customHeight="1" collapsed="1" x14ac:dyDescent="0.15">
      <c r="B97" s="85" t="s">
        <v>217</v>
      </c>
      <c r="C97" s="93" t="s">
        <v>200</v>
      </c>
      <c r="D97" s="93" t="s">
        <v>200</v>
      </c>
    </row>
    <row r="98" spans="2:4" hidden="1" outlineLevel="1" x14ac:dyDescent="0.15">
      <c r="B98" s="232"/>
      <c r="C98" s="233">
        <f>IF(C97="Yes",20,0)</f>
        <v>0</v>
      </c>
      <c r="D98" s="233">
        <f>IF(D97="Yes",20,0)</f>
        <v>0</v>
      </c>
    </row>
    <row r="99" spans="2:4" ht="18" customHeight="1" collapsed="1" x14ac:dyDescent="0.15">
      <c r="B99" s="85" t="s">
        <v>225</v>
      </c>
      <c r="C99" s="93" t="s">
        <v>200</v>
      </c>
      <c r="D99" s="93" t="s">
        <v>200</v>
      </c>
    </row>
    <row r="100" spans="2:4" hidden="1" outlineLevel="1" x14ac:dyDescent="0.15">
      <c r="B100" s="232"/>
      <c r="C100" s="233">
        <f>IF(C99="Yes",50,0)</f>
        <v>0</v>
      </c>
      <c r="D100" s="233">
        <f>IF(D99="Yes",50,0)</f>
        <v>0</v>
      </c>
    </row>
    <row r="101" spans="2:4" hidden="1" outlineLevel="1" x14ac:dyDescent="0.15">
      <c r="B101" s="235"/>
      <c r="C101" s="236">
        <f>HLOOKUP(cForce1,tUnitsStats,36,FALSE)*100</f>
        <v>0</v>
      </c>
      <c r="D101" s="236">
        <f>HLOOKUP(cForce2,tUnitsStats,36,FALSE)*100</f>
        <v>0</v>
      </c>
    </row>
    <row r="102" spans="2:4" hidden="1" outlineLevel="1" x14ac:dyDescent="0.15">
      <c r="B102" s="237"/>
      <c r="C102" s="238">
        <f>(C92+C94+C96+C98+C100)*IF(D101&gt;99,0,IF(D101&gt;4,0.5,1))</f>
        <v>0</v>
      </c>
      <c r="D102" s="238">
        <f>(D92+D94+D96+D98+D100)*IF(C101&gt;99,0,IF(C101&gt;4,0.5,1))</f>
        <v>0</v>
      </c>
    </row>
    <row r="103" spans="2:4" ht="6" customHeight="1" collapsed="1" x14ac:dyDescent="0.15"/>
    <row r="104" spans="2:4" ht="18" customHeight="1" x14ac:dyDescent="0.15">
      <c r="B104" s="280" t="s">
        <v>295</v>
      </c>
      <c r="C104" s="280"/>
      <c r="D104" s="280"/>
    </row>
    <row r="105" spans="2:4" ht="18" customHeight="1" x14ac:dyDescent="0.15">
      <c r="B105" s="85" t="s">
        <v>291</v>
      </c>
      <c r="C105" s="93" t="s">
        <v>200</v>
      </c>
      <c r="D105" s="93" t="s">
        <v>200</v>
      </c>
    </row>
    <row r="106" spans="2:4" hidden="1" outlineLevel="1" x14ac:dyDescent="0.15">
      <c r="B106" s="232"/>
      <c r="C106" s="233">
        <f>IF(C105="Yes",150,0)</f>
        <v>0</v>
      </c>
      <c r="D106" s="233">
        <f>IF(D105="Yes",150,0)</f>
        <v>0</v>
      </c>
    </row>
    <row r="107" spans="2:4" ht="18" customHeight="1" collapsed="1" x14ac:dyDescent="0.15">
      <c r="B107" s="85" t="s">
        <v>292</v>
      </c>
      <c r="C107" s="93" t="s">
        <v>200</v>
      </c>
      <c r="D107" s="93" t="s">
        <v>200</v>
      </c>
    </row>
    <row r="108" spans="2:4" hidden="1" outlineLevel="1" x14ac:dyDescent="0.15">
      <c r="B108" s="232"/>
      <c r="C108" s="233">
        <f>IF(C107="Yes",50,0)</f>
        <v>0</v>
      </c>
      <c r="D108" s="233">
        <f>IF(D107="Yes",50,0)</f>
        <v>0</v>
      </c>
    </row>
    <row r="109" spans="2:4" ht="18" customHeight="1" collapsed="1" x14ac:dyDescent="0.15">
      <c r="B109" s="85" t="s">
        <v>293</v>
      </c>
      <c r="C109" s="93" t="s">
        <v>200</v>
      </c>
      <c r="D109" s="93" t="s">
        <v>200</v>
      </c>
    </row>
    <row r="110" spans="2:4" hidden="1" outlineLevel="1" x14ac:dyDescent="0.15">
      <c r="B110" s="232"/>
      <c r="C110" s="233">
        <f>IF(C109="Yes",50,0)</f>
        <v>0</v>
      </c>
      <c r="D110" s="233">
        <f>IF(D109="Yes",50,0)</f>
        <v>0</v>
      </c>
    </row>
    <row r="111" spans="2:4" ht="18" customHeight="1" collapsed="1" x14ac:dyDescent="0.15">
      <c r="B111" s="85" t="s">
        <v>294</v>
      </c>
      <c r="C111" s="93" t="s">
        <v>200</v>
      </c>
      <c r="D111" s="93" t="s">
        <v>200</v>
      </c>
    </row>
    <row r="112" spans="2:4" hidden="1" outlineLevel="1" x14ac:dyDescent="0.15">
      <c r="B112" s="232"/>
      <c r="C112" s="233">
        <f>IF(C111="Yes",20,0)</f>
        <v>0</v>
      </c>
      <c r="D112" s="233">
        <f>IF(D111="Yes",20,0)</f>
        <v>0</v>
      </c>
    </row>
    <row r="113" spans="2:4" hidden="1" outlineLevel="1" x14ac:dyDescent="0.15">
      <c r="B113" s="237"/>
      <c r="C113" s="238">
        <f>C106+C108+C110+C112</f>
        <v>0</v>
      </c>
      <c r="D113" s="238">
        <f>D106+D108+D110+D112</f>
        <v>0</v>
      </c>
    </row>
    <row r="114" spans="2:4" ht="6" customHeight="1" collapsed="1" x14ac:dyDescent="0.15"/>
    <row r="115" spans="2:4" ht="18" customHeight="1" x14ac:dyDescent="0.15">
      <c r="B115" s="280" t="s">
        <v>218</v>
      </c>
      <c r="C115" s="280"/>
      <c r="D115" s="280"/>
    </row>
    <row r="116" spans="2:4" ht="18" customHeight="1" x14ac:dyDescent="0.15">
      <c r="B116" s="85" t="s">
        <v>219</v>
      </c>
      <c r="C116" s="86">
        <v>0</v>
      </c>
      <c r="D116" s="86">
        <v>0</v>
      </c>
    </row>
    <row r="117" spans="2:4" hidden="1" outlineLevel="1" x14ac:dyDescent="0.15">
      <c r="B117" s="237"/>
      <c r="C117" s="238">
        <f>-C116*10</f>
        <v>0</v>
      </c>
      <c r="D117" s="238">
        <f>-D116*10</f>
        <v>0</v>
      </c>
    </row>
    <row r="118" spans="2:4" ht="6" customHeight="1" collapsed="1" x14ac:dyDescent="0.15"/>
  </sheetData>
  <mergeCells count="10">
    <mergeCell ref="B73:D73"/>
    <mergeCell ref="B90:D90"/>
    <mergeCell ref="B104:D104"/>
    <mergeCell ref="B115:D115"/>
    <mergeCell ref="B10:D10"/>
    <mergeCell ref="B24:D24"/>
    <mergeCell ref="B32:D32"/>
    <mergeCell ref="B43:D43"/>
    <mergeCell ref="B50:D50"/>
    <mergeCell ref="B64:D64"/>
  </mergeCells>
  <conditionalFormatting sqref="C52:D52 C54:D54 C56:D56 C58:D58 C60:D60">
    <cfRule type="cellIs" dxfId="49" priority="50" stopIfTrue="1" operator="equal">
      <formula>"No"</formula>
    </cfRule>
  </conditionalFormatting>
  <conditionalFormatting sqref="C65:D65 C67:D67 C69:D69">
    <cfRule type="cellIs" dxfId="48" priority="49" stopIfTrue="1" operator="equal">
      <formula>"No"</formula>
    </cfRule>
  </conditionalFormatting>
  <conditionalFormatting sqref="C97">
    <cfRule type="cellIs" dxfId="47" priority="40" stopIfTrue="1" operator="equal">
      <formula>"No"</formula>
    </cfRule>
  </conditionalFormatting>
  <conditionalFormatting sqref="C74">
    <cfRule type="cellIs" dxfId="46" priority="48" stopIfTrue="1" operator="equal">
      <formula>"No"</formula>
    </cfRule>
  </conditionalFormatting>
  <conditionalFormatting sqref="C76">
    <cfRule type="cellIs" dxfId="45" priority="47" stopIfTrue="1" operator="equal">
      <formula>"No"</formula>
    </cfRule>
  </conditionalFormatting>
  <conditionalFormatting sqref="C78">
    <cfRule type="cellIs" dxfId="44" priority="46" stopIfTrue="1" operator="equal">
      <formula>"No"</formula>
    </cfRule>
  </conditionalFormatting>
  <conditionalFormatting sqref="C80">
    <cfRule type="cellIs" dxfId="43" priority="45" stopIfTrue="1" operator="equal">
      <formula>"No"</formula>
    </cfRule>
  </conditionalFormatting>
  <conditionalFormatting sqref="C82">
    <cfRule type="cellIs" dxfId="42" priority="44" stopIfTrue="1" operator="equal">
      <formula>"No"</formula>
    </cfRule>
  </conditionalFormatting>
  <conditionalFormatting sqref="C84">
    <cfRule type="cellIs" dxfId="41" priority="43" stopIfTrue="1" operator="equal">
      <formula>"No"</formula>
    </cfRule>
  </conditionalFormatting>
  <conditionalFormatting sqref="C86">
    <cfRule type="cellIs" dxfId="40" priority="42" stopIfTrue="1" operator="equal">
      <formula>"No"</formula>
    </cfRule>
  </conditionalFormatting>
  <conditionalFormatting sqref="D74">
    <cfRule type="cellIs" dxfId="39" priority="38" stopIfTrue="1" operator="equal">
      <formula>"No"</formula>
    </cfRule>
  </conditionalFormatting>
  <conditionalFormatting sqref="D80">
    <cfRule type="cellIs" dxfId="38" priority="35" stopIfTrue="1" operator="equal">
      <formula>"No"</formula>
    </cfRule>
  </conditionalFormatting>
  <conditionalFormatting sqref="C95">
    <cfRule type="cellIs" dxfId="37" priority="41" stopIfTrue="1" operator="equal">
      <formula>"No"</formula>
    </cfRule>
  </conditionalFormatting>
  <conditionalFormatting sqref="C99">
    <cfRule type="cellIs" dxfId="36" priority="39" stopIfTrue="1" operator="equal">
      <formula>"No"</formula>
    </cfRule>
  </conditionalFormatting>
  <conditionalFormatting sqref="D99">
    <cfRule type="cellIs" dxfId="35" priority="29" stopIfTrue="1" operator="equal">
      <formula>"No"</formula>
    </cfRule>
  </conditionalFormatting>
  <conditionalFormatting sqref="C93">
    <cfRule type="cellIs" dxfId="34" priority="25" stopIfTrue="1" operator="equal">
      <formula>"No"</formula>
    </cfRule>
  </conditionalFormatting>
  <conditionalFormatting sqref="C105 C107 C111">
    <cfRule type="cellIs" dxfId="33" priority="24" stopIfTrue="1" operator="equal">
      <formula>"No"</formula>
    </cfRule>
  </conditionalFormatting>
  <conditionalFormatting sqref="D109">
    <cfRule type="cellIs" dxfId="32" priority="21" stopIfTrue="1" operator="equal">
      <formula>"No"</formula>
    </cfRule>
  </conditionalFormatting>
  <conditionalFormatting sqref="C13:D13">
    <cfRule type="cellIs" dxfId="31" priority="19" stopIfTrue="1" operator="equal">
      <formula>"No"</formula>
    </cfRule>
  </conditionalFormatting>
  <conditionalFormatting sqref="D37">
    <cfRule type="cellIs" dxfId="30" priority="15" stopIfTrue="1" operator="equal">
      <formula>"No"</formula>
    </cfRule>
  </conditionalFormatting>
  <conditionalFormatting sqref="D95">
    <cfRule type="cellIs" dxfId="29" priority="31" stopIfTrue="1" operator="equal">
      <formula>"No"</formula>
    </cfRule>
  </conditionalFormatting>
  <conditionalFormatting sqref="D76">
    <cfRule type="cellIs" dxfId="28" priority="37" stopIfTrue="1" operator="equal">
      <formula>"No"</formula>
    </cfRule>
  </conditionalFormatting>
  <conditionalFormatting sqref="D78">
    <cfRule type="cellIs" dxfId="27" priority="36" stopIfTrue="1" operator="equal">
      <formula>"No"</formula>
    </cfRule>
  </conditionalFormatting>
  <conditionalFormatting sqref="D97">
    <cfRule type="cellIs" dxfId="26" priority="30" stopIfTrue="1" operator="equal">
      <formula>"No"</formula>
    </cfRule>
  </conditionalFormatting>
  <conditionalFormatting sqref="D82">
    <cfRule type="cellIs" dxfId="25" priority="34" stopIfTrue="1" operator="equal">
      <formula>"No"</formula>
    </cfRule>
  </conditionalFormatting>
  <conditionalFormatting sqref="D84">
    <cfRule type="cellIs" dxfId="24" priority="33" stopIfTrue="1" operator="equal">
      <formula>"No"</formula>
    </cfRule>
  </conditionalFormatting>
  <conditionalFormatting sqref="D86">
    <cfRule type="cellIs" dxfId="23" priority="32" stopIfTrue="1" operator="equal">
      <formula>"No"</formula>
    </cfRule>
  </conditionalFormatting>
  <conditionalFormatting sqref="C91">
    <cfRule type="cellIs" dxfId="22" priority="26" stopIfTrue="1" operator="equal">
      <formula>"No"</formula>
    </cfRule>
  </conditionalFormatting>
  <conditionalFormatting sqref="D93">
    <cfRule type="cellIs" dxfId="21" priority="28" stopIfTrue="1" operator="equal">
      <formula>"No"</formula>
    </cfRule>
  </conditionalFormatting>
  <conditionalFormatting sqref="C44 C46">
    <cfRule type="cellIs" dxfId="20" priority="14" stopIfTrue="1" operator="equal">
      <formula>"No"</formula>
    </cfRule>
  </conditionalFormatting>
  <conditionalFormatting sqref="D19">
    <cfRule type="cellIs" dxfId="19" priority="11" stopIfTrue="1" operator="equal">
      <formula>"No"</formula>
    </cfRule>
  </conditionalFormatting>
  <conditionalFormatting sqref="D91">
    <cfRule type="cellIs" dxfId="18" priority="27" stopIfTrue="1" operator="equal">
      <formula>"No"</formula>
    </cfRule>
  </conditionalFormatting>
  <conditionalFormatting sqref="D44 D46">
    <cfRule type="cellIs" dxfId="17" priority="13" stopIfTrue="1" operator="equal">
      <formula>"No"</formula>
    </cfRule>
  </conditionalFormatting>
  <conditionalFormatting sqref="C11:D11">
    <cfRule type="cellIs" dxfId="16" priority="20" stopIfTrue="1" operator="equal">
      <formula>"No"</formula>
    </cfRule>
  </conditionalFormatting>
  <conditionalFormatting sqref="C109">
    <cfRule type="cellIs" dxfId="15" priority="23" stopIfTrue="1" operator="equal">
      <formula>"No"</formula>
    </cfRule>
  </conditionalFormatting>
  <conditionalFormatting sqref="C33 C35 C39">
    <cfRule type="cellIs" dxfId="14" priority="18" stopIfTrue="1" operator="equal">
      <formula>"No"</formula>
    </cfRule>
  </conditionalFormatting>
  <conditionalFormatting sqref="D105 D107 D111">
    <cfRule type="cellIs" dxfId="13" priority="22" stopIfTrue="1" operator="equal">
      <formula>"No"</formula>
    </cfRule>
  </conditionalFormatting>
  <conditionalFormatting sqref="D33 D35 D39">
    <cfRule type="cellIs" dxfId="12" priority="16" stopIfTrue="1" operator="equal">
      <formula>"No"</formula>
    </cfRule>
  </conditionalFormatting>
  <conditionalFormatting sqref="C19">
    <cfRule type="cellIs" dxfId="11" priority="12" stopIfTrue="1" operator="equal">
      <formula>"No"</formula>
    </cfRule>
  </conditionalFormatting>
  <conditionalFormatting sqref="C37">
    <cfRule type="cellIs" dxfId="10" priority="17" stopIfTrue="1" operator="equal">
      <formula>"No"</formula>
    </cfRule>
  </conditionalFormatting>
  <conditionalFormatting sqref="D30">
    <cfRule type="cellIs" dxfId="9" priority="9" stopIfTrue="1" operator="equal">
      <formula>"No"</formula>
    </cfRule>
  </conditionalFormatting>
  <conditionalFormatting sqref="D20">
    <cfRule type="cellIs" dxfId="8" priority="3" stopIfTrue="1" operator="equal">
      <formula>"No"</formula>
    </cfRule>
  </conditionalFormatting>
  <conditionalFormatting sqref="C30">
    <cfRule type="cellIs" dxfId="7" priority="10" stopIfTrue="1" operator="equal">
      <formula>"No"</formula>
    </cfRule>
  </conditionalFormatting>
  <conditionalFormatting sqref="C20">
    <cfRule type="cellIs" dxfId="6" priority="4" stopIfTrue="1" operator="equal">
      <formula>"No"</formula>
    </cfRule>
  </conditionalFormatting>
  <conditionalFormatting sqref="C15">
    <cfRule type="cellIs" dxfId="5" priority="7" operator="equal">
      <formula>"Winner"</formula>
    </cfRule>
    <cfRule type="cellIs" dxfId="4" priority="8" stopIfTrue="1" operator="equal">
      <formula>"No"</formula>
    </cfRule>
  </conditionalFormatting>
  <conditionalFormatting sqref="D15">
    <cfRule type="cellIs" dxfId="3" priority="5" operator="equal">
      <formula>"Winner"</formula>
    </cfRule>
    <cfRule type="cellIs" dxfId="2" priority="6" stopIfTrue="1" operator="equal">
      <formula>"No"</formula>
    </cfRule>
  </conditionalFormatting>
  <conditionalFormatting sqref="D22">
    <cfRule type="cellIs" dxfId="1" priority="1" stopIfTrue="1" operator="equal">
      <formula>"No"</formula>
    </cfRule>
  </conditionalFormatting>
  <conditionalFormatting sqref="C22">
    <cfRule type="cellIs" dxfId="0" priority="2" stopIfTrue="1" operator="equal">
      <formula>"No"</formula>
    </cfRule>
  </conditionalFormatting>
  <dataValidations count="6">
    <dataValidation type="list" allowBlank="1" showInputMessage="1" showErrorMessage="1" sqref="C12:D12" xr:uid="{00000000-0002-0000-0800-000000000000}">
      <formula1>"1,2,3,4,5,6,7,8,9,10,11,12,13,14,15,16,17,18,19,20"</formula1>
    </dataValidation>
    <dataValidation type="list" allowBlank="1" sqref="C25:D25" xr:uid="{00000000-0002-0000-0800-000001000000}">
      <formula1>tTacticsList</formula1>
    </dataValidation>
    <dataValidation type="list" sqref="C116:D116" xr:uid="{00000000-0002-0000-0800-000002000000}">
      <formula1>"0,1,2,3,4,5"</formula1>
    </dataValidation>
    <dataValidation type="list" sqref="C74:D74 C60:D60 C69:D69 C52:D52 C54:D54 C56:D56 C58:D58 C65:D65 C67:D67 C76:D76 C78:D78 C80:D80 C82:D82 C84:D84 C91:D91 C99:D99 C95:D95 C97:D97 C86:D86 C93:D93 C105:D105 C107:D107 C109:D109 C111:D111 C11:D11 C44:D44 C13:D13 C35:D35 C37:D37 C39:D39 C33:D33 C46:D46 C19:D19 C30:D30 C15:D15" xr:uid="{00000000-0002-0000-0800-000003000000}">
      <formula1>"Yes,No"</formula1>
    </dataValidation>
    <dataValidation type="list" showInputMessage="1" showErrorMessage="1" errorTitle="No Force Selected" error="Please select one of the forces from the available forces on the second tab." promptTitle="First Force" prompt="Select  a Force from the list of available forces (second tab)." sqref="C2" xr:uid="{00000000-0002-0000-0800-000004000000}">
      <formula1>rUnitsNames</formula1>
    </dataValidation>
    <dataValidation type="list" showInputMessage="1" showErrorMessage="1" errorTitle="No Force Selected" error="Please select one of the forces from the available forces on the second tab." promptTitle="Second Force" prompt="Select  a Force from the list of available forces (second tab)." sqref="D2" xr:uid="{00000000-0002-0000-0800-000005000000}">
      <formula1>rUnitsNames</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6"/>
  <sheetViews>
    <sheetView workbookViewId="0">
      <selection activeCell="F4" sqref="F4"/>
    </sheetView>
  </sheetViews>
  <sheetFormatPr baseColWidth="10" defaultColWidth="8.83203125" defaultRowHeight="13" x14ac:dyDescent="0.15"/>
  <cols>
    <col min="1" max="1" width="4" bestFit="1" customWidth="1"/>
    <col min="2" max="2" width="13.33203125" bestFit="1" customWidth="1"/>
    <col min="3" max="3" width="2" bestFit="1" customWidth="1"/>
    <col min="4" max="4" width="2.6640625" customWidth="1"/>
    <col min="7" max="7" width="2.6640625" customWidth="1"/>
    <col min="9" max="9" width="2.6640625" customWidth="1"/>
    <col min="10" max="10" width="12.6640625" bestFit="1" customWidth="1"/>
    <col min="11" max="11" width="2.6640625" customWidth="1"/>
    <col min="19" max="19" width="2.6640625" customWidth="1"/>
    <col min="27" max="27" width="2.6640625" customWidth="1"/>
    <col min="29" max="29" width="84.83203125" bestFit="1" customWidth="1"/>
    <col min="30" max="30" width="2.6640625" customWidth="1"/>
  </cols>
  <sheetData>
    <row r="1" spans="1:30" x14ac:dyDescent="0.15">
      <c r="A1" s="282" t="s">
        <v>1</v>
      </c>
      <c r="B1" s="282"/>
      <c r="C1" s="282"/>
      <c r="D1" s="3" t="s">
        <v>43</v>
      </c>
      <c r="E1" s="282" t="s">
        <v>52</v>
      </c>
      <c r="F1" s="282"/>
      <c r="G1" s="3" t="s">
        <v>43</v>
      </c>
      <c r="H1" s="95" t="s">
        <v>228</v>
      </c>
      <c r="I1" s="3" t="s">
        <v>43</v>
      </c>
      <c r="J1" s="95" t="s">
        <v>194</v>
      </c>
      <c r="K1" s="3" t="s">
        <v>43</v>
      </c>
      <c r="L1" s="282" t="s">
        <v>120</v>
      </c>
      <c r="M1" s="282"/>
      <c r="N1" s="282"/>
      <c r="O1" s="282"/>
      <c r="P1" s="282"/>
      <c r="Q1" s="282"/>
      <c r="R1" s="282"/>
      <c r="S1" s="3" t="s">
        <v>43</v>
      </c>
      <c r="T1" s="282" t="s">
        <v>82</v>
      </c>
      <c r="U1" s="282"/>
      <c r="V1" s="282"/>
      <c r="W1" s="282"/>
      <c r="X1" s="282"/>
      <c r="Y1" s="282"/>
      <c r="Z1" s="282"/>
      <c r="AA1" s="3" t="s">
        <v>43</v>
      </c>
      <c r="AB1" s="282" t="s">
        <v>111</v>
      </c>
      <c r="AC1" s="282"/>
      <c r="AD1" s="3" t="s">
        <v>43</v>
      </c>
    </row>
    <row r="2" spans="1:30" x14ac:dyDescent="0.15">
      <c r="A2" s="5">
        <v>0</v>
      </c>
      <c r="B2" s="1" t="s">
        <v>32</v>
      </c>
      <c r="C2" s="1">
        <v>0</v>
      </c>
      <c r="D2" s="3" t="s">
        <v>43</v>
      </c>
      <c r="E2" s="58">
        <v>1</v>
      </c>
      <c r="F2" s="58">
        <v>0</v>
      </c>
      <c r="G2" s="3" t="s">
        <v>43</v>
      </c>
      <c r="H2" s="96">
        <v>0</v>
      </c>
      <c r="I2" s="3" t="s">
        <v>43</v>
      </c>
      <c r="J2" s="96">
        <v>0</v>
      </c>
      <c r="K2" s="3" t="s">
        <v>43</v>
      </c>
      <c r="L2" s="6"/>
      <c r="M2" s="5" t="s">
        <v>121</v>
      </c>
      <c r="N2" s="5" t="s">
        <v>126</v>
      </c>
      <c r="O2" s="5" t="s">
        <v>122</v>
      </c>
      <c r="P2" s="5" t="s">
        <v>123</v>
      </c>
      <c r="Q2" s="5" t="s">
        <v>124</v>
      </c>
      <c r="R2" s="5" t="s">
        <v>125</v>
      </c>
      <c r="S2" s="3" t="s">
        <v>43</v>
      </c>
      <c r="T2" s="1">
        <v>0</v>
      </c>
      <c r="U2" s="1">
        <v>1</v>
      </c>
      <c r="V2" s="1">
        <v>10</v>
      </c>
      <c r="W2" s="1">
        <v>0</v>
      </c>
      <c r="X2" s="1">
        <v>0</v>
      </c>
      <c r="Y2" s="1" t="s">
        <v>85</v>
      </c>
      <c r="Z2" s="1" t="s">
        <v>89</v>
      </c>
      <c r="AA2" s="3" t="s">
        <v>43</v>
      </c>
      <c r="AB2" s="1" t="s">
        <v>85</v>
      </c>
      <c r="AC2" s="1" t="s">
        <v>103</v>
      </c>
      <c r="AD2" s="3" t="s">
        <v>43</v>
      </c>
    </row>
    <row r="3" spans="1:30" x14ac:dyDescent="0.15">
      <c r="A3" s="5">
        <v>21</v>
      </c>
      <c r="B3" s="1" t="s">
        <v>33</v>
      </c>
      <c r="C3" s="1">
        <v>1</v>
      </c>
      <c r="D3" s="3" t="s">
        <v>43</v>
      </c>
      <c r="E3" s="58">
        <v>1.5</v>
      </c>
      <c r="F3" s="58">
        <v>15</v>
      </c>
      <c r="G3" s="3" t="s">
        <v>43</v>
      </c>
      <c r="H3" s="96">
        <v>0.01</v>
      </c>
      <c r="I3" s="3" t="s">
        <v>43</v>
      </c>
      <c r="J3" s="96">
        <v>0.01</v>
      </c>
      <c r="K3" s="3" t="s">
        <v>43</v>
      </c>
      <c r="L3" s="6" t="s">
        <v>121</v>
      </c>
      <c r="M3" s="47">
        <v>20</v>
      </c>
      <c r="N3" s="47"/>
      <c r="O3" s="47">
        <v>10</v>
      </c>
      <c r="P3" s="47"/>
      <c r="Q3" s="47"/>
      <c r="R3" s="47">
        <v>30</v>
      </c>
      <c r="S3" s="3" t="s">
        <v>43</v>
      </c>
      <c r="T3" s="1">
        <v>9</v>
      </c>
      <c r="U3" s="1">
        <v>1</v>
      </c>
      <c r="V3" s="1">
        <v>20</v>
      </c>
      <c r="W3" s="1">
        <v>0</v>
      </c>
      <c r="X3" s="1">
        <v>0</v>
      </c>
      <c r="Y3" s="1" t="s">
        <v>85</v>
      </c>
      <c r="Z3" s="1" t="s">
        <v>89</v>
      </c>
      <c r="AA3" s="3" t="s">
        <v>43</v>
      </c>
      <c r="AB3" s="1" t="s">
        <v>89</v>
      </c>
      <c r="AC3" s="1" t="s">
        <v>104</v>
      </c>
      <c r="AD3" s="3" t="s">
        <v>43</v>
      </c>
    </row>
    <row r="4" spans="1:30" x14ac:dyDescent="0.15">
      <c r="A4" s="5">
        <v>36</v>
      </c>
      <c r="B4" s="1" t="s">
        <v>34</v>
      </c>
      <c r="C4" s="1">
        <v>2</v>
      </c>
      <c r="D4" s="3" t="s">
        <v>43</v>
      </c>
      <c r="E4" s="58">
        <v>2</v>
      </c>
      <c r="F4" s="58">
        <v>30</v>
      </c>
      <c r="G4" s="3" t="s">
        <v>43</v>
      </c>
      <c r="H4" s="96">
        <v>0.02</v>
      </c>
      <c r="I4" s="3" t="s">
        <v>43</v>
      </c>
      <c r="J4" s="96">
        <v>0.05</v>
      </c>
      <c r="K4" s="3" t="s">
        <v>43</v>
      </c>
      <c r="L4" s="6" t="s">
        <v>126</v>
      </c>
      <c r="M4" s="47">
        <v>20</v>
      </c>
      <c r="N4" s="47">
        <v>10</v>
      </c>
      <c r="O4" s="47"/>
      <c r="P4" s="47"/>
      <c r="Q4" s="47">
        <v>-10</v>
      </c>
      <c r="R4" s="47">
        <v>20</v>
      </c>
      <c r="S4" s="3" t="s">
        <v>43</v>
      </c>
      <c r="T4" s="1">
        <v>16</v>
      </c>
      <c r="U4" s="1">
        <v>10</v>
      </c>
      <c r="V4" s="1">
        <v>20</v>
      </c>
      <c r="W4" s="1">
        <v>0</v>
      </c>
      <c r="X4" s="1">
        <v>1</v>
      </c>
      <c r="Y4" s="1" t="s">
        <v>85</v>
      </c>
      <c r="Z4" s="1" t="s">
        <v>89</v>
      </c>
      <c r="AA4" s="3" t="s">
        <v>43</v>
      </c>
      <c r="AB4" s="1" t="s">
        <v>86</v>
      </c>
      <c r="AC4" s="1" t="s">
        <v>105</v>
      </c>
      <c r="AD4" s="3" t="s">
        <v>43</v>
      </c>
    </row>
    <row r="5" spans="1:30" x14ac:dyDescent="0.15">
      <c r="A5" s="5">
        <v>56</v>
      </c>
      <c r="B5" s="260" t="s">
        <v>36</v>
      </c>
      <c r="C5" s="1">
        <v>3</v>
      </c>
      <c r="D5" s="3" t="s">
        <v>43</v>
      </c>
      <c r="E5" s="58">
        <v>3</v>
      </c>
      <c r="F5" s="58">
        <v>45</v>
      </c>
      <c r="G5" s="3" t="s">
        <v>43</v>
      </c>
      <c r="H5" s="96">
        <v>0.03</v>
      </c>
      <c r="I5" s="3" t="s">
        <v>43</v>
      </c>
      <c r="J5" s="96">
        <v>0.1</v>
      </c>
      <c r="K5" s="3" t="s">
        <v>43</v>
      </c>
      <c r="L5" s="56" t="s">
        <v>302</v>
      </c>
      <c r="M5" s="47"/>
      <c r="N5" s="47">
        <v>10</v>
      </c>
      <c r="O5" s="47"/>
      <c r="P5" s="47"/>
      <c r="Q5" s="47">
        <v>20</v>
      </c>
      <c r="R5" s="47">
        <v>-10</v>
      </c>
      <c r="S5" s="3" t="s">
        <v>43</v>
      </c>
      <c r="T5" s="1">
        <v>25</v>
      </c>
      <c r="U5" s="1">
        <v>10</v>
      </c>
      <c r="V5" s="1">
        <v>30</v>
      </c>
      <c r="W5" s="1">
        <v>0</v>
      </c>
      <c r="X5" s="1">
        <v>1</v>
      </c>
      <c r="Y5" s="1" t="s">
        <v>85</v>
      </c>
      <c r="Z5" s="1" t="s">
        <v>90</v>
      </c>
      <c r="AA5" s="3" t="s">
        <v>43</v>
      </c>
      <c r="AB5" s="1" t="s">
        <v>87</v>
      </c>
      <c r="AC5" s="1" t="s">
        <v>106</v>
      </c>
      <c r="AD5" s="3" t="s">
        <v>43</v>
      </c>
    </row>
    <row r="6" spans="1:30" x14ac:dyDescent="0.15">
      <c r="A6" s="5">
        <v>71</v>
      </c>
      <c r="B6" s="260" t="s">
        <v>35</v>
      </c>
      <c r="C6" s="1">
        <v>4</v>
      </c>
      <c r="D6" s="3" t="s">
        <v>43</v>
      </c>
      <c r="E6" s="58">
        <v>4</v>
      </c>
      <c r="F6" s="58">
        <v>60</v>
      </c>
      <c r="G6" s="3" t="s">
        <v>43</v>
      </c>
      <c r="H6" s="96">
        <v>0.04</v>
      </c>
      <c r="I6" s="3" t="s">
        <v>43</v>
      </c>
      <c r="J6" s="96">
        <v>0.2</v>
      </c>
      <c r="K6" s="3" t="s">
        <v>43</v>
      </c>
      <c r="L6" s="6" t="s">
        <v>123</v>
      </c>
      <c r="M6" s="47">
        <v>20</v>
      </c>
      <c r="N6" s="47">
        <v>10</v>
      </c>
      <c r="O6" s="47">
        <v>-10</v>
      </c>
      <c r="P6" s="47"/>
      <c r="Q6" s="47">
        <v>-10</v>
      </c>
      <c r="R6" s="47">
        <v>-10</v>
      </c>
      <c r="S6" s="3" t="s">
        <v>43</v>
      </c>
      <c r="T6" s="1">
        <v>31</v>
      </c>
      <c r="U6" s="1">
        <v>20</v>
      </c>
      <c r="V6" s="1">
        <v>40</v>
      </c>
      <c r="W6" s="1">
        <v>1</v>
      </c>
      <c r="X6" s="1">
        <v>2</v>
      </c>
      <c r="Y6" s="1" t="s">
        <v>89</v>
      </c>
      <c r="Z6" s="1" t="s">
        <v>89</v>
      </c>
      <c r="AA6" s="3" t="s">
        <v>43</v>
      </c>
      <c r="AB6" s="1" t="s">
        <v>88</v>
      </c>
      <c r="AC6" s="1" t="s">
        <v>107</v>
      </c>
      <c r="AD6" s="3" t="s">
        <v>43</v>
      </c>
    </row>
    <row r="7" spans="1:30" x14ac:dyDescent="0.15">
      <c r="A7" s="5">
        <v>81</v>
      </c>
      <c r="B7" s="1" t="s">
        <v>37</v>
      </c>
      <c r="C7" s="1">
        <v>5</v>
      </c>
      <c r="D7" s="3" t="s">
        <v>43</v>
      </c>
      <c r="E7" s="58">
        <v>5</v>
      </c>
      <c r="F7" s="58">
        <v>70</v>
      </c>
      <c r="G7" s="3" t="s">
        <v>43</v>
      </c>
      <c r="H7" s="96">
        <v>0.05</v>
      </c>
      <c r="I7" s="3" t="s">
        <v>43</v>
      </c>
      <c r="J7" s="96">
        <v>0.3</v>
      </c>
      <c r="K7" s="3" t="s">
        <v>43</v>
      </c>
      <c r="L7" s="6" t="s">
        <v>124</v>
      </c>
      <c r="M7" s="47">
        <v>20</v>
      </c>
      <c r="N7" s="47"/>
      <c r="O7" s="47"/>
      <c r="P7" s="47"/>
      <c r="Q7" s="47"/>
      <c r="R7" s="47"/>
      <c r="S7" s="3" t="s">
        <v>43</v>
      </c>
      <c r="T7" s="1">
        <v>39</v>
      </c>
      <c r="U7" s="1">
        <v>1</v>
      </c>
      <c r="V7" s="1">
        <v>30</v>
      </c>
      <c r="W7" s="1">
        <v>0</v>
      </c>
      <c r="X7" s="1">
        <v>2</v>
      </c>
      <c r="Y7" s="1" t="s">
        <v>85</v>
      </c>
      <c r="Z7" s="1" t="s">
        <v>91</v>
      </c>
      <c r="AA7" s="3" t="s">
        <v>43</v>
      </c>
      <c r="AB7" s="1" t="s">
        <v>90</v>
      </c>
      <c r="AC7" s="1" t="s">
        <v>108</v>
      </c>
      <c r="AD7" s="3" t="s">
        <v>43</v>
      </c>
    </row>
    <row r="8" spans="1:30" x14ac:dyDescent="0.15">
      <c r="A8" s="5">
        <v>101</v>
      </c>
      <c r="B8" s="1" t="s">
        <v>38</v>
      </c>
      <c r="C8" s="1">
        <v>6</v>
      </c>
      <c r="D8" s="3" t="s">
        <v>43</v>
      </c>
      <c r="E8" s="58">
        <v>6</v>
      </c>
      <c r="F8" s="58">
        <v>80</v>
      </c>
      <c r="G8" s="3" t="s">
        <v>43</v>
      </c>
      <c r="H8" s="96">
        <v>0.06</v>
      </c>
      <c r="I8" s="3" t="s">
        <v>43</v>
      </c>
      <c r="J8" s="96">
        <v>0.4</v>
      </c>
      <c r="K8" s="3" t="s">
        <v>43</v>
      </c>
      <c r="L8" s="6" t="s">
        <v>125</v>
      </c>
      <c r="M8" s="47"/>
      <c r="N8" s="47"/>
      <c r="O8" s="47"/>
      <c r="P8" s="47">
        <v>-10</v>
      </c>
      <c r="Q8" s="47"/>
      <c r="R8" s="47"/>
      <c r="S8" s="3" t="s">
        <v>43</v>
      </c>
      <c r="T8" s="1">
        <v>51</v>
      </c>
      <c r="U8" s="1">
        <v>20</v>
      </c>
      <c r="V8" s="1">
        <v>50</v>
      </c>
      <c r="W8" s="1">
        <v>1</v>
      </c>
      <c r="X8" s="1">
        <v>2</v>
      </c>
      <c r="Y8" s="1" t="s">
        <v>86</v>
      </c>
      <c r="Z8" s="1" t="s">
        <v>92</v>
      </c>
      <c r="AA8" s="3" t="s">
        <v>43</v>
      </c>
      <c r="AB8" s="1" t="s">
        <v>91</v>
      </c>
      <c r="AC8" s="1" t="s">
        <v>109</v>
      </c>
      <c r="AD8" s="3" t="s">
        <v>43</v>
      </c>
    </row>
    <row r="9" spans="1:30" x14ac:dyDescent="0.15">
      <c r="A9" s="5">
        <v>126</v>
      </c>
      <c r="B9" s="1" t="s">
        <v>39</v>
      </c>
      <c r="C9" s="1">
        <v>7</v>
      </c>
      <c r="D9" s="3" t="s">
        <v>43</v>
      </c>
      <c r="E9" s="58">
        <v>7</v>
      </c>
      <c r="F9" s="58">
        <v>90</v>
      </c>
      <c r="G9" s="3" t="s">
        <v>43</v>
      </c>
      <c r="H9" s="96">
        <v>7.0000000000000007E-2</v>
      </c>
      <c r="I9" s="3" t="s">
        <v>43</v>
      </c>
      <c r="J9" s="96">
        <v>0.5</v>
      </c>
      <c r="K9" s="3" t="s">
        <v>43</v>
      </c>
      <c r="L9" s="6"/>
      <c r="M9" s="5"/>
      <c r="N9" s="5"/>
      <c r="O9" s="5"/>
      <c r="P9" s="5"/>
      <c r="Q9" s="5"/>
      <c r="R9" s="5"/>
      <c r="S9" s="3" t="s">
        <v>43</v>
      </c>
      <c r="T9" s="1">
        <v>64</v>
      </c>
      <c r="U9" s="1">
        <v>30</v>
      </c>
      <c r="V9" s="1">
        <v>60</v>
      </c>
      <c r="W9" s="1">
        <v>1</v>
      </c>
      <c r="X9" s="1">
        <v>2</v>
      </c>
      <c r="Y9" s="1" t="s">
        <v>86</v>
      </c>
      <c r="Z9" s="1" t="s">
        <v>92</v>
      </c>
      <c r="AA9" s="3" t="s">
        <v>43</v>
      </c>
      <c r="AB9" s="1" t="s">
        <v>92</v>
      </c>
      <c r="AC9" s="1" t="s">
        <v>110</v>
      </c>
      <c r="AD9" s="3" t="s">
        <v>43</v>
      </c>
    </row>
    <row r="10" spans="1:30" x14ac:dyDescent="0.15">
      <c r="D10" s="3" t="s">
        <v>43</v>
      </c>
      <c r="E10" s="58">
        <v>10</v>
      </c>
      <c r="F10" s="58">
        <v>100</v>
      </c>
      <c r="G10" s="3" t="s">
        <v>43</v>
      </c>
      <c r="H10" s="96">
        <v>0.08</v>
      </c>
      <c r="I10" s="3" t="s">
        <v>43</v>
      </c>
      <c r="J10" s="96">
        <v>0.6</v>
      </c>
      <c r="K10" s="3" t="s">
        <v>43</v>
      </c>
      <c r="L10" s="282" t="s">
        <v>127</v>
      </c>
      <c r="M10" s="282"/>
      <c r="N10" s="282"/>
      <c r="O10" s="282"/>
      <c r="P10" s="282"/>
      <c r="Q10" s="282"/>
      <c r="R10" s="282"/>
      <c r="S10" s="3" t="s">
        <v>43</v>
      </c>
      <c r="T10" s="1">
        <v>81</v>
      </c>
      <c r="U10" s="1">
        <v>10</v>
      </c>
      <c r="V10" s="1">
        <v>50</v>
      </c>
      <c r="W10" s="1">
        <v>0</v>
      </c>
      <c r="X10" s="1">
        <v>2</v>
      </c>
      <c r="Y10" s="1" t="s">
        <v>87</v>
      </c>
      <c r="Z10" s="1" t="s">
        <v>91</v>
      </c>
      <c r="AA10" s="3" t="s">
        <v>43</v>
      </c>
      <c r="AB10" s="1" t="s">
        <v>83</v>
      </c>
      <c r="AC10" s="1" t="s">
        <v>140</v>
      </c>
      <c r="AD10" s="3" t="s">
        <v>43</v>
      </c>
    </row>
    <row r="11" spans="1:30" x14ac:dyDescent="0.15">
      <c r="D11" s="3" t="s">
        <v>43</v>
      </c>
      <c r="E11" s="58">
        <v>15</v>
      </c>
      <c r="F11" s="58">
        <v>110</v>
      </c>
      <c r="G11" s="3" t="s">
        <v>43</v>
      </c>
      <c r="H11" s="96">
        <v>0.09</v>
      </c>
      <c r="I11" s="3" t="s">
        <v>43</v>
      </c>
      <c r="J11" s="96">
        <v>0.7</v>
      </c>
      <c r="K11" s="3" t="s">
        <v>43</v>
      </c>
      <c r="L11" s="6"/>
      <c r="M11" s="5" t="s">
        <v>121</v>
      </c>
      <c r="N11" s="5" t="s">
        <v>126</v>
      </c>
      <c r="O11" s="5" t="s">
        <v>122</v>
      </c>
      <c r="P11" s="5" t="s">
        <v>123</v>
      </c>
      <c r="Q11" s="5" t="s">
        <v>124</v>
      </c>
      <c r="R11" s="5" t="s">
        <v>125</v>
      </c>
      <c r="S11" s="3" t="s">
        <v>43</v>
      </c>
      <c r="T11" s="1">
        <v>91</v>
      </c>
      <c r="U11" s="1">
        <v>1</v>
      </c>
      <c r="V11" s="1">
        <v>30</v>
      </c>
      <c r="W11" s="1">
        <v>0</v>
      </c>
      <c r="X11" s="1">
        <v>3</v>
      </c>
      <c r="Y11" s="1" t="s">
        <v>87</v>
      </c>
      <c r="Z11" s="1" t="s">
        <v>83</v>
      </c>
      <c r="AA11" s="3" t="s">
        <v>43</v>
      </c>
      <c r="AB11" s="1" t="s">
        <v>84</v>
      </c>
      <c r="AC11" s="1" t="s">
        <v>116</v>
      </c>
      <c r="AD11" s="3" t="s">
        <v>43</v>
      </c>
    </row>
    <row r="12" spans="1:30" x14ac:dyDescent="0.15">
      <c r="D12" s="3" t="s">
        <v>43</v>
      </c>
      <c r="E12" s="58">
        <v>20</v>
      </c>
      <c r="F12" s="58">
        <v>120</v>
      </c>
      <c r="G12" s="3" t="s">
        <v>43</v>
      </c>
      <c r="H12" s="96">
        <v>0.1</v>
      </c>
      <c r="I12" s="3" t="s">
        <v>43</v>
      </c>
      <c r="J12" s="96">
        <v>0.8</v>
      </c>
      <c r="K12" s="3" t="s">
        <v>43</v>
      </c>
      <c r="L12" s="6" t="s">
        <v>121</v>
      </c>
      <c r="M12" s="47"/>
      <c r="N12" s="47">
        <v>-20</v>
      </c>
      <c r="O12" s="47"/>
      <c r="P12" s="47">
        <v>20</v>
      </c>
      <c r="Q12" s="47">
        <v>-25</v>
      </c>
      <c r="R12" s="47"/>
      <c r="S12" s="3" t="s">
        <v>43</v>
      </c>
      <c r="T12" s="1">
        <v>101</v>
      </c>
      <c r="U12" s="1">
        <v>20</v>
      </c>
      <c r="V12" s="1">
        <v>70</v>
      </c>
      <c r="W12" s="1">
        <v>0</v>
      </c>
      <c r="X12" s="1">
        <v>3</v>
      </c>
      <c r="Y12" s="1" t="s">
        <v>87</v>
      </c>
      <c r="Z12" s="1" t="s">
        <v>83</v>
      </c>
      <c r="AA12" s="3" t="s">
        <v>43</v>
      </c>
      <c r="AB12" s="1" t="s">
        <v>115</v>
      </c>
      <c r="AC12" s="1" t="s">
        <v>117</v>
      </c>
      <c r="AD12" s="3" t="s">
        <v>43</v>
      </c>
    </row>
    <row r="13" spans="1:30" x14ac:dyDescent="0.15">
      <c r="D13" s="3" t="s">
        <v>43</v>
      </c>
      <c r="E13" s="58">
        <v>30</v>
      </c>
      <c r="F13" s="58">
        <v>130</v>
      </c>
      <c r="G13" s="3" t="s">
        <v>43</v>
      </c>
      <c r="H13" s="96">
        <v>0.11</v>
      </c>
      <c r="I13" s="3" t="s">
        <v>43</v>
      </c>
      <c r="J13" s="96">
        <v>0.9</v>
      </c>
      <c r="K13" s="3" t="s">
        <v>43</v>
      </c>
      <c r="L13" s="6" t="s">
        <v>126</v>
      </c>
      <c r="M13" s="47"/>
      <c r="N13" s="47"/>
      <c r="O13" s="47">
        <v>-10</v>
      </c>
      <c r="P13" s="47">
        <v>10</v>
      </c>
      <c r="Q13" s="47"/>
      <c r="R13" s="47"/>
      <c r="S13" s="3" t="s">
        <v>43</v>
      </c>
      <c r="T13" s="1">
        <v>121</v>
      </c>
      <c r="U13" s="1">
        <v>10</v>
      </c>
      <c r="V13" s="1">
        <v>10</v>
      </c>
      <c r="W13" s="1">
        <v>0</v>
      </c>
      <c r="X13" s="1">
        <v>3</v>
      </c>
      <c r="Y13" s="1" t="s">
        <v>87</v>
      </c>
      <c r="Z13" s="1" t="s">
        <v>83</v>
      </c>
      <c r="AA13" s="3" t="s">
        <v>43</v>
      </c>
      <c r="AD13" s="3" t="s">
        <v>43</v>
      </c>
    </row>
    <row r="14" spans="1:30" x14ac:dyDescent="0.15">
      <c r="D14" s="3" t="s">
        <v>43</v>
      </c>
      <c r="E14" s="58">
        <v>40</v>
      </c>
      <c r="F14" s="58">
        <v>140</v>
      </c>
      <c r="G14" s="3" t="s">
        <v>43</v>
      </c>
      <c r="H14" s="96">
        <v>0.12</v>
      </c>
      <c r="I14" s="3" t="s">
        <v>43</v>
      </c>
      <c r="J14" s="96">
        <v>1</v>
      </c>
      <c r="K14" s="3" t="s">
        <v>43</v>
      </c>
      <c r="L14" s="56" t="s">
        <v>302</v>
      </c>
      <c r="M14" s="47">
        <v>10</v>
      </c>
      <c r="N14" s="47"/>
      <c r="O14" s="47"/>
      <c r="P14" s="47">
        <v>-20</v>
      </c>
      <c r="Q14" s="47"/>
      <c r="R14" s="47"/>
      <c r="S14" s="3" t="s">
        <v>43</v>
      </c>
      <c r="T14" s="1">
        <v>151</v>
      </c>
      <c r="U14" s="1">
        <v>10</v>
      </c>
      <c r="V14" s="1">
        <v>100</v>
      </c>
      <c r="W14" s="1">
        <v>0</v>
      </c>
      <c r="X14" s="1">
        <v>4</v>
      </c>
      <c r="Y14" s="1" t="s">
        <v>88</v>
      </c>
      <c r="Z14" s="1" t="s">
        <v>84</v>
      </c>
      <c r="AA14" s="3" t="s">
        <v>43</v>
      </c>
      <c r="AD14" s="3" t="s">
        <v>43</v>
      </c>
    </row>
    <row r="15" spans="1:30" x14ac:dyDescent="0.15">
      <c r="D15" s="3" t="s">
        <v>43</v>
      </c>
      <c r="E15" s="58">
        <v>50</v>
      </c>
      <c r="F15" s="58">
        <v>150</v>
      </c>
      <c r="G15" s="3" t="s">
        <v>43</v>
      </c>
      <c r="H15" s="96">
        <v>0.13</v>
      </c>
      <c r="I15" s="3" t="s">
        <v>43</v>
      </c>
      <c r="K15" s="3" t="s">
        <v>43</v>
      </c>
      <c r="L15" s="6" t="s">
        <v>123</v>
      </c>
      <c r="M15" s="47"/>
      <c r="N15" s="47"/>
      <c r="O15" s="47"/>
      <c r="P15" s="47"/>
      <c r="Q15" s="47"/>
      <c r="R15" s="47"/>
      <c r="S15" s="3" t="s">
        <v>43</v>
      </c>
      <c r="AA15" s="3" t="s">
        <v>43</v>
      </c>
      <c r="AD15" s="3" t="s">
        <v>43</v>
      </c>
    </row>
    <row r="16" spans="1:30" x14ac:dyDescent="0.15">
      <c r="D16" s="3" t="s">
        <v>43</v>
      </c>
      <c r="E16" s="58">
        <v>60</v>
      </c>
      <c r="F16" s="58">
        <v>160</v>
      </c>
      <c r="G16" s="3" t="s">
        <v>43</v>
      </c>
      <c r="H16" s="96">
        <v>0.14000000000000001</v>
      </c>
      <c r="I16" s="3" t="s">
        <v>43</v>
      </c>
      <c r="K16" s="3" t="s">
        <v>43</v>
      </c>
      <c r="L16" s="6" t="s">
        <v>124</v>
      </c>
      <c r="M16" s="47"/>
      <c r="N16" s="47"/>
      <c r="O16" s="47">
        <v>20</v>
      </c>
      <c r="P16" s="47">
        <v>-20</v>
      </c>
      <c r="Q16" s="47"/>
      <c r="R16" s="47"/>
      <c r="S16" s="3" t="s">
        <v>43</v>
      </c>
      <c r="AA16" s="3" t="s">
        <v>43</v>
      </c>
      <c r="AD16" s="3" t="s">
        <v>43</v>
      </c>
    </row>
    <row r="17" spans="4:30" x14ac:dyDescent="0.15">
      <c r="D17" s="3" t="s">
        <v>43</v>
      </c>
      <c r="E17" s="58">
        <v>70</v>
      </c>
      <c r="F17" s="58">
        <v>170</v>
      </c>
      <c r="G17" s="3" t="s">
        <v>43</v>
      </c>
      <c r="H17" s="96">
        <v>0.15</v>
      </c>
      <c r="I17" s="3" t="s">
        <v>43</v>
      </c>
      <c r="K17" s="3" t="s">
        <v>43</v>
      </c>
      <c r="L17" s="6" t="s">
        <v>125</v>
      </c>
      <c r="M17" s="47">
        <v>20</v>
      </c>
      <c r="N17" s="47">
        <v>10</v>
      </c>
      <c r="O17" s="47">
        <v>10</v>
      </c>
      <c r="P17" s="47"/>
      <c r="Q17" s="47"/>
      <c r="R17" s="47"/>
      <c r="S17" s="3" t="s">
        <v>43</v>
      </c>
      <c r="AA17" s="3" t="s">
        <v>43</v>
      </c>
      <c r="AD17" s="3" t="s">
        <v>43</v>
      </c>
    </row>
    <row r="18" spans="4:30" x14ac:dyDescent="0.15">
      <c r="D18" s="3" t="s">
        <v>43</v>
      </c>
      <c r="E18" s="58">
        <v>80</v>
      </c>
      <c r="F18" s="58">
        <v>180</v>
      </c>
      <c r="G18" s="3" t="s">
        <v>43</v>
      </c>
      <c r="H18" s="96">
        <v>0.16</v>
      </c>
      <c r="I18" s="3" t="s">
        <v>43</v>
      </c>
      <c r="K18" s="3" t="s">
        <v>43</v>
      </c>
      <c r="S18" s="3" t="s">
        <v>43</v>
      </c>
      <c r="AA18" s="3" t="s">
        <v>43</v>
      </c>
      <c r="AD18" s="3" t="s">
        <v>43</v>
      </c>
    </row>
    <row r="19" spans="4:30" x14ac:dyDescent="0.15">
      <c r="D19" s="3" t="s">
        <v>43</v>
      </c>
      <c r="E19" s="58">
        <v>90</v>
      </c>
      <c r="F19" s="58">
        <v>190</v>
      </c>
      <c r="G19" s="3" t="s">
        <v>43</v>
      </c>
      <c r="H19" s="96">
        <v>0.17</v>
      </c>
      <c r="I19" s="3" t="s">
        <v>43</v>
      </c>
      <c r="K19" s="3" t="s">
        <v>43</v>
      </c>
      <c r="L19" s="282" t="s">
        <v>300</v>
      </c>
      <c r="M19" s="282"/>
      <c r="N19" s="282"/>
      <c r="O19" s="282"/>
      <c r="P19" s="282"/>
      <c r="Q19" s="282"/>
      <c r="R19" s="282"/>
      <c r="S19" s="3" t="s">
        <v>43</v>
      </c>
      <c r="AA19" s="3" t="s">
        <v>43</v>
      </c>
      <c r="AD19" s="3" t="s">
        <v>43</v>
      </c>
    </row>
    <row r="20" spans="4:30" x14ac:dyDescent="0.15">
      <c r="D20" s="3" t="s">
        <v>43</v>
      </c>
      <c r="E20" s="58">
        <v>100</v>
      </c>
      <c r="F20" s="58">
        <v>200</v>
      </c>
      <c r="G20" s="3" t="s">
        <v>43</v>
      </c>
      <c r="H20" s="96">
        <v>0.18</v>
      </c>
      <c r="I20" s="3" t="s">
        <v>43</v>
      </c>
      <c r="K20" s="3" t="s">
        <v>43</v>
      </c>
      <c r="L20" s="6"/>
      <c r="M20" s="5" t="s">
        <v>121</v>
      </c>
      <c r="N20" s="5" t="s">
        <v>126</v>
      </c>
      <c r="O20" s="5" t="s">
        <v>122</v>
      </c>
      <c r="P20" s="5" t="s">
        <v>123</v>
      </c>
      <c r="Q20" s="5" t="s">
        <v>124</v>
      </c>
      <c r="R20" s="5" t="s">
        <v>125</v>
      </c>
      <c r="S20" s="3" t="s">
        <v>43</v>
      </c>
      <c r="AA20" s="3" t="s">
        <v>43</v>
      </c>
      <c r="AD20" s="3" t="s">
        <v>43</v>
      </c>
    </row>
    <row r="21" spans="4:30" x14ac:dyDescent="0.15">
      <c r="D21" s="3" t="s">
        <v>43</v>
      </c>
      <c r="G21" s="3" t="s">
        <v>43</v>
      </c>
      <c r="H21" s="96">
        <v>0.19</v>
      </c>
      <c r="I21" s="3" t="s">
        <v>43</v>
      </c>
      <c r="K21" s="3" t="s">
        <v>43</v>
      </c>
      <c r="L21" s="6" t="s">
        <v>121</v>
      </c>
      <c r="M21" s="47"/>
      <c r="N21" s="47"/>
      <c r="O21" s="47"/>
      <c r="P21" s="47"/>
      <c r="Q21" s="47"/>
      <c r="R21" s="47"/>
      <c r="S21" s="3" t="s">
        <v>43</v>
      </c>
      <c r="AA21" s="3" t="s">
        <v>43</v>
      </c>
      <c r="AD21" s="3" t="s">
        <v>43</v>
      </c>
    </row>
    <row r="22" spans="4:30" x14ac:dyDescent="0.15">
      <c r="D22" s="3" t="s">
        <v>43</v>
      </c>
      <c r="G22" s="3" t="s">
        <v>43</v>
      </c>
      <c r="H22" s="96">
        <v>0.2</v>
      </c>
      <c r="I22" s="3" t="s">
        <v>43</v>
      </c>
      <c r="K22" s="3" t="s">
        <v>43</v>
      </c>
      <c r="L22" s="6" t="s">
        <v>126</v>
      </c>
      <c r="M22" s="47"/>
      <c r="N22" s="47"/>
      <c r="O22" s="47"/>
      <c r="P22" s="47"/>
      <c r="Q22" s="47"/>
      <c r="R22" s="47"/>
      <c r="S22" s="3" t="s">
        <v>43</v>
      </c>
      <c r="AA22" s="3" t="s">
        <v>43</v>
      </c>
      <c r="AD22" s="3" t="s">
        <v>43</v>
      </c>
    </row>
    <row r="23" spans="4:30" x14ac:dyDescent="0.15">
      <c r="L23" s="56" t="s">
        <v>302</v>
      </c>
      <c r="M23" s="47"/>
      <c r="N23" s="47"/>
      <c r="O23" s="47"/>
      <c r="P23" s="47"/>
      <c r="Q23" s="47"/>
      <c r="R23" s="47"/>
    </row>
    <row r="24" spans="4:30" x14ac:dyDescent="0.15">
      <c r="L24" s="6" t="s">
        <v>123</v>
      </c>
      <c r="M24" s="47"/>
      <c r="N24" s="47"/>
      <c r="O24" s="47"/>
      <c r="P24" s="47"/>
      <c r="Q24" s="47"/>
      <c r="R24" s="47"/>
    </row>
    <row r="25" spans="4:30" x14ac:dyDescent="0.15">
      <c r="L25" s="6" t="s">
        <v>124</v>
      </c>
      <c r="M25" s="47"/>
      <c r="N25" s="47"/>
      <c r="O25" s="47"/>
      <c r="P25" s="47"/>
      <c r="Q25" s="239" t="s">
        <v>296</v>
      </c>
      <c r="R25" s="239" t="s">
        <v>296</v>
      </c>
    </row>
    <row r="26" spans="4:30" x14ac:dyDescent="0.15">
      <c r="L26" s="6" t="s">
        <v>125</v>
      </c>
      <c r="M26" s="47"/>
      <c r="N26" s="47"/>
      <c r="O26" s="47"/>
      <c r="P26" s="47"/>
      <c r="Q26" s="239" t="s">
        <v>296</v>
      </c>
      <c r="R26" s="239" t="s">
        <v>296</v>
      </c>
    </row>
  </sheetData>
  <mergeCells count="7">
    <mergeCell ref="L10:R10"/>
    <mergeCell ref="L19:R19"/>
    <mergeCell ref="T1:Z1"/>
    <mergeCell ref="AB1:AC1"/>
    <mergeCell ref="A1:C1"/>
    <mergeCell ref="E1:F1"/>
    <mergeCell ref="L1:R1"/>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100"/>
  <sheetViews>
    <sheetView workbookViewId="0">
      <pane xSplit="3" ySplit="1" topLeftCell="AA2" activePane="bottomRight" state="frozenSplit"/>
      <selection pane="topRight" activeCell="D1" sqref="D1"/>
      <selection pane="bottomLeft" activeCell="A14" sqref="A14"/>
      <selection pane="bottomRight" activeCell="AA1" sqref="AA1:AB1"/>
    </sheetView>
  </sheetViews>
  <sheetFormatPr baseColWidth="10" defaultColWidth="9.1640625" defaultRowHeight="13" x14ac:dyDescent="0.15"/>
  <cols>
    <col min="1" max="1" width="45.1640625" style="6" bestFit="1" customWidth="1"/>
    <col min="2" max="3" width="20.5" style="5" customWidth="1"/>
    <col min="4" max="4" width="7.33203125" style="5" customWidth="1"/>
    <col min="5" max="5" width="34.33203125" style="55" customWidth="1"/>
    <col min="6" max="6" width="14.33203125" style="5" bestFit="1" customWidth="1"/>
    <col min="7" max="7" width="14.5" style="5" bestFit="1" customWidth="1"/>
    <col min="8" max="8" width="11.5" style="1" customWidth="1"/>
    <col min="9" max="10" width="11.5" style="5" customWidth="1"/>
    <col min="11" max="11" width="1.5" style="3" customWidth="1"/>
    <col min="12" max="12" width="4" style="5" bestFit="1" customWidth="1"/>
    <col min="13" max="13" width="13.1640625" style="1" bestFit="1" customWidth="1"/>
    <col min="14" max="14" width="2" style="1" bestFit="1" customWidth="1"/>
    <col min="15" max="15" width="1.5" style="3" customWidth="1"/>
    <col min="16" max="17" width="4" style="5" bestFit="1" customWidth="1"/>
    <col min="18" max="18" width="1.5" style="3" customWidth="1"/>
    <col min="19" max="19" width="4" style="1" customWidth="1"/>
    <col min="20" max="20" width="3" style="1" customWidth="1"/>
    <col min="21" max="21" width="4" style="1" customWidth="1"/>
    <col min="22" max="23" width="2" style="1" customWidth="1"/>
    <col min="24" max="24" width="4.33203125" style="1" customWidth="1"/>
    <col min="25" max="25" width="2.33203125" style="1" customWidth="1"/>
    <col min="26" max="26" width="1.5" style="3" customWidth="1"/>
    <col min="27" max="27" width="2" style="1" bestFit="1" customWidth="1"/>
    <col min="28" max="28" width="23.5" style="1" bestFit="1" customWidth="1"/>
    <col min="29" max="29" width="1.5" style="3" customWidth="1"/>
    <col min="30" max="30" width="4.5" style="1" bestFit="1" customWidth="1"/>
    <col min="31" max="31" width="76.1640625" style="1" bestFit="1" customWidth="1"/>
    <col min="32" max="32" width="1.5" style="3" customWidth="1"/>
    <col min="33" max="33" width="9.1640625" style="6"/>
    <col min="34" max="39" width="9.1640625" style="5"/>
    <col min="40" max="40" width="1.5" style="3" customWidth="1"/>
    <col min="41" max="16384" width="9.1640625" style="1"/>
  </cols>
  <sheetData>
    <row r="1" spans="1:40" x14ac:dyDescent="0.15">
      <c r="B1" s="2">
        <v>1</v>
      </c>
      <c r="C1" s="2">
        <v>1</v>
      </c>
      <c r="E1" s="55" t="s">
        <v>43</v>
      </c>
      <c r="F1" s="4">
        <v>1</v>
      </c>
      <c r="G1" s="4">
        <v>1</v>
      </c>
      <c r="K1" s="3" t="s">
        <v>43</v>
      </c>
      <c r="L1" s="282" t="s">
        <v>1</v>
      </c>
      <c r="M1" s="282"/>
      <c r="N1" s="282"/>
      <c r="O1" s="3" t="s">
        <v>43</v>
      </c>
      <c r="P1" s="282" t="s">
        <v>52</v>
      </c>
      <c r="Q1" s="282"/>
      <c r="R1" s="3" t="s">
        <v>43</v>
      </c>
      <c r="S1" s="282" t="s">
        <v>82</v>
      </c>
      <c r="T1" s="282"/>
      <c r="U1" s="282"/>
      <c r="V1" s="282"/>
      <c r="W1" s="282"/>
      <c r="X1" s="282"/>
      <c r="Y1" s="282"/>
      <c r="Z1" s="3" t="s">
        <v>43</v>
      </c>
      <c r="AA1" s="282" t="s">
        <v>77</v>
      </c>
      <c r="AB1" s="282"/>
      <c r="AC1" s="3" t="s">
        <v>43</v>
      </c>
      <c r="AD1" s="282" t="s">
        <v>111</v>
      </c>
      <c r="AE1" s="282"/>
      <c r="AF1" s="3" t="s">
        <v>43</v>
      </c>
      <c r="AG1" s="282" t="s">
        <v>120</v>
      </c>
      <c r="AH1" s="282"/>
      <c r="AI1" s="282"/>
      <c r="AJ1" s="282"/>
      <c r="AK1" s="282"/>
      <c r="AL1" s="282"/>
      <c r="AM1" s="282"/>
      <c r="AN1" s="3" t="s">
        <v>43</v>
      </c>
    </row>
    <row r="2" spans="1:40" x14ac:dyDescent="0.15">
      <c r="B2" s="7" t="e">
        <f ca="1">F2</f>
        <v>#NAME?</v>
      </c>
      <c r="C2" s="7" t="e">
        <f ca="1">G2</f>
        <v>#NAME?</v>
      </c>
      <c r="E2" s="54" t="s">
        <v>15</v>
      </c>
      <c r="F2" s="4" t="e">
        <f ca="1">OFFSET(Troop,ROW(F2)-1,F$1)</f>
        <v>#NAME?</v>
      </c>
      <c r="G2" s="4" t="e">
        <f t="shared" ref="G2:G22" ca="1" si="0">OFFSET(Troop,ROW(G2)-1,G$1)</f>
        <v>#NAME?</v>
      </c>
      <c r="H2" s="1" t="s">
        <v>43</v>
      </c>
      <c r="K2" s="3" t="s">
        <v>43</v>
      </c>
      <c r="L2" s="5">
        <v>0</v>
      </c>
      <c r="M2" s="1" t="s">
        <v>32</v>
      </c>
      <c r="N2" s="1">
        <v>0</v>
      </c>
      <c r="O2" s="3" t="s">
        <v>43</v>
      </c>
      <c r="P2" s="5">
        <v>1</v>
      </c>
      <c r="Q2" s="5">
        <v>0</v>
      </c>
      <c r="R2" s="3" t="s">
        <v>43</v>
      </c>
      <c r="S2" s="1">
        <v>1</v>
      </c>
      <c r="T2" s="1">
        <v>1</v>
      </c>
      <c r="U2" s="1">
        <v>10</v>
      </c>
      <c r="V2" s="1">
        <v>0</v>
      </c>
      <c r="W2" s="1">
        <v>0</v>
      </c>
      <c r="X2" s="1" t="s">
        <v>85</v>
      </c>
      <c r="Y2" s="1" t="s">
        <v>89</v>
      </c>
      <c r="Z2" s="3" t="s">
        <v>43</v>
      </c>
      <c r="AA2" s="1">
        <v>0</v>
      </c>
      <c r="AB2" s="1" t="s">
        <v>98</v>
      </c>
      <c r="AC2" s="3" t="s">
        <v>43</v>
      </c>
      <c r="AD2" s="1" t="s">
        <v>85</v>
      </c>
      <c r="AE2" s="1" t="s">
        <v>103</v>
      </c>
      <c r="AF2" s="3" t="s">
        <v>43</v>
      </c>
      <c r="AH2" s="5" t="s">
        <v>121</v>
      </c>
      <c r="AI2" s="5" t="s">
        <v>126</v>
      </c>
      <c r="AJ2" s="5" t="s">
        <v>122</v>
      </c>
      <c r="AK2" s="5" t="s">
        <v>123</v>
      </c>
      <c r="AL2" s="5" t="s">
        <v>124</v>
      </c>
      <c r="AM2" s="5" t="s">
        <v>125</v>
      </c>
      <c r="AN2" s="3" t="s">
        <v>43</v>
      </c>
    </row>
    <row r="3" spans="1:40" x14ac:dyDescent="0.15">
      <c r="A3" s="6" t="s">
        <v>96</v>
      </c>
      <c r="B3" s="7" t="e">
        <f ca="1">F3</f>
        <v>#NAME?</v>
      </c>
      <c r="C3" s="7" t="e">
        <f ca="1">G3</f>
        <v>#NAME?</v>
      </c>
      <c r="E3" s="54" t="s">
        <v>6</v>
      </c>
      <c r="F3" s="4" t="e">
        <f t="shared" ref="F3:G24" ca="1" si="1">OFFSET(Troop,ROW(F3)-1,F$1)</f>
        <v>#NAME?</v>
      </c>
      <c r="G3" s="4" t="e">
        <f t="shared" ca="1" si="0"/>
        <v>#NAME?</v>
      </c>
      <c r="H3" s="1" t="s">
        <v>43</v>
      </c>
      <c r="K3" s="3" t="s">
        <v>43</v>
      </c>
      <c r="L3" s="5">
        <v>21</v>
      </c>
      <c r="M3" s="1" t="s">
        <v>33</v>
      </c>
      <c r="N3" s="1">
        <v>1</v>
      </c>
      <c r="O3" s="3" t="s">
        <v>43</v>
      </c>
      <c r="P3" s="5">
        <v>1.5</v>
      </c>
      <c r="Q3" s="5">
        <v>15</v>
      </c>
      <c r="R3" s="3" t="s">
        <v>43</v>
      </c>
      <c r="S3" s="1">
        <v>9</v>
      </c>
      <c r="T3" s="1">
        <v>1</v>
      </c>
      <c r="U3" s="1">
        <v>20</v>
      </c>
      <c r="V3" s="1">
        <v>0</v>
      </c>
      <c r="W3" s="1">
        <v>0</v>
      </c>
      <c r="X3" s="1" t="s">
        <v>85</v>
      </c>
      <c r="Y3" s="1" t="s">
        <v>89</v>
      </c>
      <c r="Z3" s="3" t="s">
        <v>43</v>
      </c>
      <c r="AA3" s="1">
        <v>1</v>
      </c>
      <c r="AB3" s="1" t="s">
        <v>99</v>
      </c>
      <c r="AC3" s="3" t="s">
        <v>43</v>
      </c>
      <c r="AD3" s="1" t="s">
        <v>89</v>
      </c>
      <c r="AE3" s="1" t="s">
        <v>104</v>
      </c>
      <c r="AF3" s="3" t="s">
        <v>43</v>
      </c>
      <c r="AG3" s="6" t="s">
        <v>121</v>
      </c>
      <c r="AH3" s="47">
        <v>2</v>
      </c>
      <c r="AI3" s="47"/>
      <c r="AJ3" s="47">
        <v>1</v>
      </c>
      <c r="AK3" s="47"/>
      <c r="AL3" s="47"/>
      <c r="AM3" s="47">
        <v>3</v>
      </c>
      <c r="AN3" s="3" t="s">
        <v>43</v>
      </c>
    </row>
    <row r="4" spans="1:40" x14ac:dyDescent="0.15">
      <c r="A4" s="6" t="s">
        <v>0</v>
      </c>
      <c r="B4" s="7" t="e">
        <f ca="1">I22</f>
        <v>#NAME?</v>
      </c>
      <c r="C4" s="7" t="e">
        <f ca="1">J22</f>
        <v>#NAME?</v>
      </c>
      <c r="E4" s="54" t="s">
        <v>14</v>
      </c>
      <c r="F4" s="4" t="e">
        <f t="shared" ca="1" si="1"/>
        <v>#NAME?</v>
      </c>
      <c r="G4" s="4" t="e">
        <f t="shared" ca="1" si="0"/>
        <v>#NAME?</v>
      </c>
      <c r="H4" s="8" t="s">
        <v>23</v>
      </c>
      <c r="I4" s="9" t="e">
        <f ca="1">F4*2</f>
        <v>#NAME?</v>
      </c>
      <c r="J4" s="9" t="e">
        <f ca="1">G4*2</f>
        <v>#NAME?</v>
      </c>
      <c r="K4" s="3" t="s">
        <v>43</v>
      </c>
      <c r="L4" s="5">
        <v>36</v>
      </c>
      <c r="M4" s="1" t="s">
        <v>34</v>
      </c>
      <c r="N4" s="1">
        <v>2</v>
      </c>
      <c r="O4" s="3" t="s">
        <v>43</v>
      </c>
      <c r="P4" s="5">
        <v>2</v>
      </c>
      <c r="Q4" s="5">
        <v>30</v>
      </c>
      <c r="R4" s="3" t="s">
        <v>43</v>
      </c>
      <c r="S4" s="1">
        <v>16</v>
      </c>
      <c r="T4" s="1">
        <v>10</v>
      </c>
      <c r="U4" s="1">
        <v>20</v>
      </c>
      <c r="V4" s="1">
        <v>0</v>
      </c>
      <c r="W4" s="1">
        <v>1</v>
      </c>
      <c r="X4" s="1" t="s">
        <v>85</v>
      </c>
      <c r="Y4" s="1" t="s">
        <v>89</v>
      </c>
      <c r="Z4" s="3" t="s">
        <v>43</v>
      </c>
      <c r="AA4" s="1">
        <v>2</v>
      </c>
      <c r="AB4" s="1" t="s">
        <v>100</v>
      </c>
      <c r="AC4" s="3" t="s">
        <v>43</v>
      </c>
      <c r="AD4" s="1" t="s">
        <v>86</v>
      </c>
      <c r="AE4" s="1" t="s">
        <v>105</v>
      </c>
      <c r="AF4" s="3" t="s">
        <v>43</v>
      </c>
      <c r="AG4" s="6" t="s">
        <v>126</v>
      </c>
      <c r="AH4" s="47">
        <v>2</v>
      </c>
      <c r="AI4" s="47">
        <v>1</v>
      </c>
      <c r="AJ4" s="47"/>
      <c r="AK4" s="47"/>
      <c r="AL4" s="47">
        <v>-1</v>
      </c>
      <c r="AM4" s="47">
        <v>2</v>
      </c>
      <c r="AN4" s="3" t="s">
        <v>43</v>
      </c>
    </row>
    <row r="5" spans="1:40" x14ac:dyDescent="0.15">
      <c r="A5" s="6" t="s">
        <v>1</v>
      </c>
      <c r="B5" s="7" t="e">
        <f ca="1">VLOOKUP($B$4,TroopClass,2)</f>
        <v>#NAME?</v>
      </c>
      <c r="C5" s="7" t="e">
        <f ca="1">VLOOKUP($C$4,TroopClass,2)</f>
        <v>#NAME?</v>
      </c>
      <c r="E5" s="54" t="s">
        <v>12</v>
      </c>
      <c r="F5" s="4" t="e">
        <f t="shared" ca="1" si="1"/>
        <v>#NAME?</v>
      </c>
      <c r="G5" s="4" t="e">
        <f t="shared" ca="1" si="0"/>
        <v>#NAME?</v>
      </c>
      <c r="H5" s="1" t="s">
        <v>43</v>
      </c>
      <c r="I5" s="9"/>
      <c r="J5" s="9"/>
      <c r="K5" s="3" t="s">
        <v>43</v>
      </c>
      <c r="L5" s="5">
        <v>56</v>
      </c>
      <c r="M5" s="1" t="s">
        <v>35</v>
      </c>
      <c r="N5" s="1">
        <v>3</v>
      </c>
      <c r="O5" s="3" t="s">
        <v>43</v>
      </c>
      <c r="P5" s="5">
        <v>3</v>
      </c>
      <c r="Q5" s="5">
        <v>45</v>
      </c>
      <c r="R5" s="3" t="s">
        <v>43</v>
      </c>
      <c r="S5" s="1">
        <v>25</v>
      </c>
      <c r="T5" s="1">
        <v>10</v>
      </c>
      <c r="U5" s="1">
        <v>30</v>
      </c>
      <c r="V5" s="1">
        <v>0</v>
      </c>
      <c r="W5" s="1">
        <v>1</v>
      </c>
      <c r="X5" s="1" t="s">
        <v>85</v>
      </c>
      <c r="Y5" s="1" t="s">
        <v>90</v>
      </c>
      <c r="Z5" s="3" t="s">
        <v>43</v>
      </c>
      <c r="AA5" s="1">
        <v>3</v>
      </c>
      <c r="AB5" s="1" t="s">
        <v>101</v>
      </c>
      <c r="AC5" s="3" t="s">
        <v>43</v>
      </c>
      <c r="AD5" s="1" t="s">
        <v>87</v>
      </c>
      <c r="AE5" s="1" t="s">
        <v>106</v>
      </c>
      <c r="AF5" s="3" t="s">
        <v>43</v>
      </c>
      <c r="AG5" s="6" t="s">
        <v>122</v>
      </c>
      <c r="AH5" s="47"/>
      <c r="AI5" s="47">
        <v>1</v>
      </c>
      <c r="AJ5" s="47"/>
      <c r="AK5" s="47"/>
      <c r="AL5" s="47">
        <v>2</v>
      </c>
      <c r="AM5" s="47">
        <v>-1</v>
      </c>
      <c r="AN5" s="3" t="s">
        <v>43</v>
      </c>
    </row>
    <row r="6" spans="1:40" x14ac:dyDescent="0.15">
      <c r="A6" s="6" t="s">
        <v>2</v>
      </c>
      <c r="B6" s="7" t="e">
        <f ca="1">INT(B4*(1+I31/10))</f>
        <v>#NAME?</v>
      </c>
      <c r="C6" s="7" t="e">
        <f ca="1">INT(C4*(1+J31/10))</f>
        <v>#NAME?</v>
      </c>
      <c r="E6" s="54" t="s">
        <v>13</v>
      </c>
      <c r="F6" s="4" t="e">
        <f t="shared" ca="1" si="1"/>
        <v>#NAME?</v>
      </c>
      <c r="G6" s="4" t="e">
        <f t="shared" ca="1" si="0"/>
        <v>#NAME?</v>
      </c>
      <c r="H6" s="1" t="s">
        <v>43</v>
      </c>
      <c r="I6" s="9" t="e">
        <f ca="1">F6*3</f>
        <v>#NAME?</v>
      </c>
      <c r="J6" s="9" t="e">
        <f ca="1">G6*3</f>
        <v>#NAME?</v>
      </c>
      <c r="K6" s="3" t="s">
        <v>43</v>
      </c>
      <c r="L6" s="5">
        <v>71</v>
      </c>
      <c r="M6" s="1" t="s">
        <v>36</v>
      </c>
      <c r="N6" s="1">
        <v>4</v>
      </c>
      <c r="O6" s="3" t="s">
        <v>43</v>
      </c>
      <c r="P6" s="5">
        <v>4</v>
      </c>
      <c r="Q6" s="5">
        <v>60</v>
      </c>
      <c r="R6" s="3" t="s">
        <v>43</v>
      </c>
      <c r="S6" s="1">
        <v>31</v>
      </c>
      <c r="T6" s="1">
        <v>20</v>
      </c>
      <c r="U6" s="1">
        <v>40</v>
      </c>
      <c r="V6" s="1">
        <v>1</v>
      </c>
      <c r="W6" s="1">
        <v>2</v>
      </c>
      <c r="X6" s="1" t="s">
        <v>89</v>
      </c>
      <c r="Y6" s="1" t="s">
        <v>89</v>
      </c>
      <c r="Z6" s="3" t="s">
        <v>43</v>
      </c>
      <c r="AA6" s="1">
        <v>4</v>
      </c>
      <c r="AB6" s="1" t="s">
        <v>102</v>
      </c>
      <c r="AC6" s="3" t="s">
        <v>43</v>
      </c>
      <c r="AD6" s="1" t="s">
        <v>88</v>
      </c>
      <c r="AE6" s="1" t="s">
        <v>107</v>
      </c>
      <c r="AF6" s="3" t="s">
        <v>43</v>
      </c>
      <c r="AG6" s="6" t="s">
        <v>123</v>
      </c>
      <c r="AH6" s="47">
        <v>2</v>
      </c>
      <c r="AI6" s="47">
        <v>1</v>
      </c>
      <c r="AJ6" s="47">
        <v>-1</v>
      </c>
      <c r="AK6" s="47"/>
      <c r="AL6" s="47">
        <v>-1</v>
      </c>
      <c r="AM6" s="47">
        <v>-1</v>
      </c>
      <c r="AN6" s="3" t="s">
        <v>43</v>
      </c>
    </row>
    <row r="7" spans="1:40" x14ac:dyDescent="0.15">
      <c r="E7" s="54" t="s">
        <v>11</v>
      </c>
      <c r="F7" s="4" t="e">
        <f t="shared" ca="1" si="1"/>
        <v>#NAME?</v>
      </c>
      <c r="G7" s="4" t="e">
        <f t="shared" ca="1" si="0"/>
        <v>#NAME?</v>
      </c>
      <c r="H7" s="10" t="s">
        <v>22</v>
      </c>
      <c r="I7" s="11" t="e">
        <f ca="1">INT(200*F7/F3)</f>
        <v>#NAME?</v>
      </c>
      <c r="J7" s="11" t="e">
        <f ca="1">INT(200*G7/G3)</f>
        <v>#NAME?</v>
      </c>
      <c r="K7" s="3" t="s">
        <v>43</v>
      </c>
      <c r="L7" s="5">
        <v>81</v>
      </c>
      <c r="M7" s="1" t="s">
        <v>37</v>
      </c>
      <c r="N7" s="1">
        <v>5</v>
      </c>
      <c r="O7" s="3" t="s">
        <v>43</v>
      </c>
      <c r="P7" s="5">
        <v>5</v>
      </c>
      <c r="Q7" s="5">
        <v>70</v>
      </c>
      <c r="R7" s="3" t="s">
        <v>43</v>
      </c>
      <c r="S7" s="1">
        <v>39</v>
      </c>
      <c r="T7" s="1">
        <v>1</v>
      </c>
      <c r="U7" s="1">
        <v>30</v>
      </c>
      <c r="V7" s="1">
        <v>0</v>
      </c>
      <c r="W7" s="1">
        <v>2</v>
      </c>
      <c r="X7" s="1" t="s">
        <v>85</v>
      </c>
      <c r="Y7" s="1" t="s">
        <v>91</v>
      </c>
      <c r="Z7" s="3" t="s">
        <v>43</v>
      </c>
      <c r="AC7" s="3" t="s">
        <v>43</v>
      </c>
      <c r="AD7" s="1" t="s">
        <v>90</v>
      </c>
      <c r="AE7" s="1" t="s">
        <v>108</v>
      </c>
      <c r="AF7" s="3" t="s">
        <v>43</v>
      </c>
      <c r="AG7" s="6" t="s">
        <v>124</v>
      </c>
      <c r="AH7" s="47">
        <v>2</v>
      </c>
      <c r="AI7" s="47"/>
      <c r="AJ7" s="47"/>
      <c r="AK7" s="47"/>
      <c r="AL7" s="47"/>
      <c r="AM7" s="47"/>
      <c r="AN7" s="3" t="s">
        <v>43</v>
      </c>
    </row>
    <row r="8" spans="1:40" x14ac:dyDescent="0.15">
      <c r="A8" s="6" t="s">
        <v>79</v>
      </c>
      <c r="B8" s="11" t="e">
        <f ca="1">INT((B6+I67)/20)</f>
        <v>#NAME?</v>
      </c>
      <c r="C8" s="11" t="e">
        <f ca="1">INT((C6+J67)/20)</f>
        <v>#NAME?</v>
      </c>
      <c r="E8" s="54" t="s">
        <v>7</v>
      </c>
      <c r="F8" s="4" t="e">
        <f t="shared" ca="1" si="1"/>
        <v>#NAME?</v>
      </c>
      <c r="G8" s="4" t="e">
        <f t="shared" ca="1" si="0"/>
        <v>#NAME?</v>
      </c>
      <c r="H8" s="1" t="s">
        <v>43</v>
      </c>
      <c r="I8" s="7" t="e">
        <f ca="1">F8</f>
        <v>#NAME?</v>
      </c>
      <c r="J8" s="7" t="e">
        <f ca="1">G8</f>
        <v>#NAME?</v>
      </c>
      <c r="K8" s="3" t="s">
        <v>43</v>
      </c>
      <c r="L8" s="5">
        <v>101</v>
      </c>
      <c r="M8" s="1" t="s">
        <v>38</v>
      </c>
      <c r="N8" s="1">
        <v>6</v>
      </c>
      <c r="O8" s="3" t="s">
        <v>43</v>
      </c>
      <c r="P8" s="5">
        <v>6</v>
      </c>
      <c r="Q8" s="5">
        <v>80</v>
      </c>
      <c r="R8" s="3" t="s">
        <v>43</v>
      </c>
      <c r="S8" s="1">
        <v>51</v>
      </c>
      <c r="T8" s="1">
        <v>20</v>
      </c>
      <c r="U8" s="1">
        <v>50</v>
      </c>
      <c r="V8" s="1">
        <v>1</v>
      </c>
      <c r="W8" s="1">
        <v>2</v>
      </c>
      <c r="X8" s="1" t="s">
        <v>86</v>
      </c>
      <c r="Y8" s="1" t="s">
        <v>92</v>
      </c>
      <c r="Z8" s="3" t="s">
        <v>43</v>
      </c>
      <c r="AC8" s="3" t="s">
        <v>43</v>
      </c>
      <c r="AD8" s="1" t="s">
        <v>91</v>
      </c>
      <c r="AE8" s="1" t="s">
        <v>109</v>
      </c>
      <c r="AF8" s="3" t="s">
        <v>43</v>
      </c>
      <c r="AG8" s="6" t="s">
        <v>125</v>
      </c>
      <c r="AH8" s="47"/>
      <c r="AI8" s="47"/>
      <c r="AJ8" s="47"/>
      <c r="AK8" s="47">
        <v>-1</v>
      </c>
      <c r="AL8" s="47"/>
      <c r="AM8" s="47"/>
      <c r="AN8" s="3" t="s">
        <v>43</v>
      </c>
    </row>
    <row r="9" spans="1:40" x14ac:dyDescent="0.15">
      <c r="E9" s="54" t="s">
        <v>8</v>
      </c>
      <c r="F9" s="4" t="e">
        <f t="shared" ca="1" si="1"/>
        <v>#NAME?</v>
      </c>
      <c r="G9" s="4" t="e">
        <f t="shared" ca="1" si="0"/>
        <v>#NAME?</v>
      </c>
      <c r="H9" s="1" t="s">
        <v>43</v>
      </c>
      <c r="I9" s="11" t="e">
        <f t="shared" ref="I9:J11" ca="1" si="2">INT(F9/2)-5</f>
        <v>#NAME?</v>
      </c>
      <c r="J9" s="11" t="e">
        <f t="shared" ca="1" si="2"/>
        <v>#NAME?</v>
      </c>
      <c r="K9" s="3" t="s">
        <v>43</v>
      </c>
      <c r="L9" s="5">
        <v>126</v>
      </c>
      <c r="M9" s="1" t="s">
        <v>39</v>
      </c>
      <c r="N9" s="1">
        <v>7</v>
      </c>
      <c r="O9" s="3" t="s">
        <v>43</v>
      </c>
      <c r="P9" s="5">
        <v>7</v>
      </c>
      <c r="Q9" s="5">
        <v>90</v>
      </c>
      <c r="R9" s="3" t="s">
        <v>43</v>
      </c>
      <c r="S9" s="1">
        <v>64</v>
      </c>
      <c r="T9" s="1">
        <v>30</v>
      </c>
      <c r="U9" s="1">
        <v>60</v>
      </c>
      <c r="V9" s="1">
        <v>1</v>
      </c>
      <c r="W9" s="1">
        <v>2</v>
      </c>
      <c r="X9" s="1" t="s">
        <v>86</v>
      </c>
      <c r="Y9" s="1" t="s">
        <v>92</v>
      </c>
      <c r="Z9" s="3" t="s">
        <v>43</v>
      </c>
      <c r="AC9" s="3" t="s">
        <v>43</v>
      </c>
      <c r="AD9" s="1" t="s">
        <v>92</v>
      </c>
      <c r="AE9" s="1" t="s">
        <v>110</v>
      </c>
      <c r="AF9" s="3" t="s">
        <v>43</v>
      </c>
      <c r="AN9" s="3" t="s">
        <v>43</v>
      </c>
    </row>
    <row r="10" spans="1:40" x14ac:dyDescent="0.15">
      <c r="A10" s="6" t="s">
        <v>81</v>
      </c>
      <c r="B10" s="5">
        <v>11</v>
      </c>
      <c r="C10" s="5">
        <v>11</v>
      </c>
      <c r="E10" s="54" t="s">
        <v>9</v>
      </c>
      <c r="F10" s="4" t="e">
        <f t="shared" ca="1" si="1"/>
        <v>#NAME?</v>
      </c>
      <c r="G10" s="4" t="e">
        <f t="shared" ca="1" si="0"/>
        <v>#NAME?</v>
      </c>
      <c r="H10" s="1" t="s">
        <v>43</v>
      </c>
      <c r="I10" s="11" t="e">
        <f t="shared" ca="1" si="2"/>
        <v>#NAME?</v>
      </c>
      <c r="J10" s="11" t="e">
        <f t="shared" ca="1" si="2"/>
        <v>#NAME?</v>
      </c>
      <c r="K10" s="3" t="s">
        <v>43</v>
      </c>
      <c r="O10" s="3" t="s">
        <v>43</v>
      </c>
      <c r="P10" s="5">
        <v>8</v>
      </c>
      <c r="Q10" s="5">
        <v>100</v>
      </c>
      <c r="R10" s="3" t="s">
        <v>43</v>
      </c>
      <c r="S10" s="1">
        <v>81</v>
      </c>
      <c r="T10" s="1">
        <v>10</v>
      </c>
      <c r="U10" s="1">
        <v>50</v>
      </c>
      <c r="V10" s="1">
        <v>0</v>
      </c>
      <c r="W10" s="1">
        <v>2</v>
      </c>
      <c r="X10" s="1" t="s">
        <v>87</v>
      </c>
      <c r="Y10" s="1" t="s">
        <v>91</v>
      </c>
      <c r="Z10" s="3" t="s">
        <v>43</v>
      </c>
      <c r="AC10" s="3" t="s">
        <v>43</v>
      </c>
      <c r="AD10" s="1" t="s">
        <v>83</v>
      </c>
      <c r="AE10" s="1" t="s">
        <v>140</v>
      </c>
      <c r="AF10" s="3" t="s">
        <v>43</v>
      </c>
      <c r="AG10" s="282" t="s">
        <v>127</v>
      </c>
      <c r="AH10" s="282"/>
      <c r="AI10" s="282"/>
      <c r="AJ10" s="282"/>
      <c r="AK10" s="282"/>
      <c r="AL10" s="282"/>
      <c r="AM10" s="282"/>
      <c r="AN10" s="3" t="s">
        <v>43</v>
      </c>
    </row>
    <row r="11" spans="1:40" x14ac:dyDescent="0.15">
      <c r="E11" s="54" t="s">
        <v>10</v>
      </c>
      <c r="F11" s="4" t="e">
        <f t="shared" ca="1" si="1"/>
        <v>#NAME?</v>
      </c>
      <c r="G11" s="4" t="e">
        <f t="shared" ca="1" si="0"/>
        <v>#NAME?</v>
      </c>
      <c r="H11" s="1" t="s">
        <v>43</v>
      </c>
      <c r="I11" s="11" t="e">
        <f t="shared" ca="1" si="2"/>
        <v>#NAME?</v>
      </c>
      <c r="J11" s="11" t="e">
        <f t="shared" ca="1" si="2"/>
        <v>#NAME?</v>
      </c>
      <c r="K11" s="3" t="s">
        <v>43</v>
      </c>
      <c r="O11" s="3" t="s">
        <v>43</v>
      </c>
      <c r="R11" s="3" t="s">
        <v>43</v>
      </c>
      <c r="S11" s="1">
        <v>91</v>
      </c>
      <c r="T11" s="1">
        <v>1</v>
      </c>
      <c r="U11" s="1">
        <v>30</v>
      </c>
      <c r="V11" s="1">
        <v>0</v>
      </c>
      <c r="W11" s="1">
        <v>3</v>
      </c>
      <c r="X11" s="1" t="s">
        <v>87</v>
      </c>
      <c r="Y11" s="1" t="s">
        <v>83</v>
      </c>
      <c r="Z11" s="3" t="s">
        <v>43</v>
      </c>
      <c r="AC11" s="3" t="s">
        <v>43</v>
      </c>
      <c r="AD11" s="1" t="s">
        <v>84</v>
      </c>
      <c r="AE11" s="1" t="s">
        <v>116</v>
      </c>
      <c r="AF11" s="3" t="s">
        <v>43</v>
      </c>
      <c r="AH11" s="5" t="s">
        <v>121</v>
      </c>
      <c r="AI11" s="5" t="s">
        <v>126</v>
      </c>
      <c r="AJ11" s="5" t="s">
        <v>122</v>
      </c>
      <c r="AK11" s="5" t="s">
        <v>123</v>
      </c>
      <c r="AL11" s="5" t="s">
        <v>124</v>
      </c>
      <c r="AM11" s="5" t="s">
        <v>125</v>
      </c>
      <c r="AN11" s="3" t="s">
        <v>43</v>
      </c>
    </row>
    <row r="12" spans="1:40" x14ac:dyDescent="0.15">
      <c r="A12" s="6" t="s">
        <v>112</v>
      </c>
      <c r="B12" s="4" t="e">
        <f ca="1">INT(B3*H78*H91/100+0.9999)</f>
        <v>#NAME?</v>
      </c>
      <c r="C12" s="4" t="e">
        <f ca="1">INT(C3*I78*I91/100+0.9999)</f>
        <v>#NAME?</v>
      </c>
      <c r="E12" s="3" t="s">
        <v>16</v>
      </c>
      <c r="F12" s="4" t="e">
        <f t="shared" ca="1" si="1"/>
        <v>#NAME?</v>
      </c>
      <c r="G12" s="4" t="e">
        <f t="shared" ca="1" si="0"/>
        <v>#NAME?</v>
      </c>
      <c r="H12" s="1" t="s">
        <v>43</v>
      </c>
      <c r="I12" s="9" t="e">
        <f ca="1">MIN(F12,10)</f>
        <v>#NAME?</v>
      </c>
      <c r="J12" s="9" t="e">
        <f ca="1">MIN(G12,10)</f>
        <v>#NAME?</v>
      </c>
      <c r="K12" s="3" t="s">
        <v>43</v>
      </c>
      <c r="O12" s="3" t="s">
        <v>43</v>
      </c>
      <c r="R12" s="3" t="s">
        <v>43</v>
      </c>
      <c r="S12" s="1">
        <v>101</v>
      </c>
      <c r="T12" s="1">
        <v>20</v>
      </c>
      <c r="U12" s="1">
        <v>70</v>
      </c>
      <c r="V12" s="1">
        <v>0</v>
      </c>
      <c r="W12" s="1">
        <v>3</v>
      </c>
      <c r="X12" s="1" t="s">
        <v>87</v>
      </c>
      <c r="Y12" s="1" t="s">
        <v>83</v>
      </c>
      <c r="Z12" s="3" t="s">
        <v>43</v>
      </c>
      <c r="AC12" s="3" t="s">
        <v>43</v>
      </c>
      <c r="AD12" s="1" t="s">
        <v>115</v>
      </c>
      <c r="AE12" s="1" t="s">
        <v>117</v>
      </c>
      <c r="AF12" s="3" t="s">
        <v>43</v>
      </c>
      <c r="AG12" s="6" t="s">
        <v>121</v>
      </c>
      <c r="AH12" s="47"/>
      <c r="AI12" s="47">
        <v>-20</v>
      </c>
      <c r="AJ12" s="47"/>
      <c r="AK12" s="47">
        <v>20</v>
      </c>
      <c r="AL12" s="47">
        <v>-25</v>
      </c>
      <c r="AM12" s="47"/>
      <c r="AN12" s="3" t="s">
        <v>43</v>
      </c>
    </row>
    <row r="13" spans="1:40" x14ac:dyDescent="0.15">
      <c r="A13" s="6" t="s">
        <v>102</v>
      </c>
      <c r="B13" s="4" t="e">
        <f ca="1">INT(B3*H78*(1-H91)/100+0.9999)</f>
        <v>#NAME?</v>
      </c>
      <c r="C13" s="4" t="e">
        <f ca="1">INT(C3*I78*(1-I91)/100+0.9999)</f>
        <v>#NAME?</v>
      </c>
      <c r="E13" s="3" t="s">
        <v>17</v>
      </c>
      <c r="F13" s="4" t="e">
        <f t="shared" ca="1" si="1"/>
        <v>#NAME?</v>
      </c>
      <c r="G13" s="4" t="e">
        <f t="shared" ca="1" si="0"/>
        <v>#NAME?</v>
      </c>
      <c r="H13" s="1" t="s">
        <v>43</v>
      </c>
      <c r="I13" s="9" t="e">
        <f ca="1">-MIN(F13,10)</f>
        <v>#NAME?</v>
      </c>
      <c r="J13" s="9" t="e">
        <f ca="1">-MIN(G13,10)</f>
        <v>#NAME?</v>
      </c>
      <c r="K13" s="3" t="s">
        <v>43</v>
      </c>
      <c r="O13" s="3" t="s">
        <v>43</v>
      </c>
      <c r="R13" s="3" t="s">
        <v>43</v>
      </c>
      <c r="S13" s="1">
        <v>121</v>
      </c>
      <c r="T13" s="1">
        <v>10</v>
      </c>
      <c r="U13" s="1">
        <v>10</v>
      </c>
      <c r="V13" s="1">
        <v>0</v>
      </c>
      <c r="W13" s="1">
        <v>3</v>
      </c>
      <c r="X13" s="1" t="s">
        <v>87</v>
      </c>
      <c r="Y13" s="1" t="s">
        <v>83</v>
      </c>
      <c r="Z13" s="3" t="s">
        <v>43</v>
      </c>
      <c r="AC13" s="3" t="s">
        <v>43</v>
      </c>
      <c r="AF13" s="3" t="s">
        <v>43</v>
      </c>
      <c r="AG13" s="6" t="s">
        <v>126</v>
      </c>
      <c r="AH13" s="47"/>
      <c r="AI13" s="47"/>
      <c r="AJ13" s="47">
        <v>-10</v>
      </c>
      <c r="AK13" s="47">
        <v>10</v>
      </c>
      <c r="AL13" s="47"/>
      <c r="AM13" s="47"/>
      <c r="AN13" s="3" t="s">
        <v>43</v>
      </c>
    </row>
    <row r="14" spans="1:40" x14ac:dyDescent="0.15">
      <c r="A14" s="6" t="s">
        <v>77</v>
      </c>
      <c r="B14" s="38" t="e">
        <f ca="1">VLOOKUP(H84,Fatigue,2)</f>
        <v>#NAME?</v>
      </c>
      <c r="C14" s="38" t="e">
        <f ca="1">VLOOKUP(I84,Fatigue,2)</f>
        <v>#NAME?</v>
      </c>
      <c r="E14" s="3" t="s">
        <v>18</v>
      </c>
      <c r="F14" s="4" t="e">
        <f t="shared" ca="1" si="1"/>
        <v>#NAME?</v>
      </c>
      <c r="G14" s="4" t="e">
        <f t="shared" ca="1" si="0"/>
        <v>#NAME?</v>
      </c>
      <c r="H14" s="12" t="s">
        <v>21</v>
      </c>
      <c r="I14" s="13" t="e">
        <f ca="1">MIN(F14,20)</f>
        <v>#NAME?</v>
      </c>
      <c r="J14" s="13" t="e">
        <f ca="1">MIN(G14,20)</f>
        <v>#NAME?</v>
      </c>
      <c r="K14" s="3" t="s">
        <v>43</v>
      </c>
      <c r="O14" s="3" t="s">
        <v>43</v>
      </c>
      <c r="R14" s="3" t="s">
        <v>43</v>
      </c>
      <c r="S14" s="1">
        <v>151</v>
      </c>
      <c r="T14" s="1">
        <v>10</v>
      </c>
      <c r="U14" s="1">
        <v>100</v>
      </c>
      <c r="V14" s="1">
        <v>0</v>
      </c>
      <c r="W14" s="1">
        <v>4</v>
      </c>
      <c r="X14" s="1" t="s">
        <v>88</v>
      </c>
      <c r="Y14" s="1" t="s">
        <v>84</v>
      </c>
      <c r="Z14" s="3" t="s">
        <v>43</v>
      </c>
      <c r="AC14" s="3" t="s">
        <v>43</v>
      </c>
      <c r="AF14" s="3" t="s">
        <v>43</v>
      </c>
      <c r="AG14" s="6" t="s">
        <v>122</v>
      </c>
      <c r="AH14" s="47">
        <v>10</v>
      </c>
      <c r="AI14" s="47"/>
      <c r="AJ14" s="47"/>
      <c r="AK14" s="47">
        <v>-20</v>
      </c>
      <c r="AL14" s="47"/>
      <c r="AM14" s="47"/>
      <c r="AN14" s="3" t="s">
        <v>43</v>
      </c>
    </row>
    <row r="15" spans="1:40" x14ac:dyDescent="0.15">
      <c r="A15" s="6" t="s">
        <v>95</v>
      </c>
      <c r="B15" s="38" t="e">
        <f ca="1">VLOOKUP(H90,LocationResults,2,FALSE)</f>
        <v>#NAME?</v>
      </c>
      <c r="C15" s="38" t="e">
        <f ca="1">VLOOKUP(I90,LocationResults,2,FALSE)</f>
        <v>#NAME?</v>
      </c>
      <c r="E15" s="3" t="s">
        <v>19</v>
      </c>
      <c r="F15" s="4" t="e">
        <f t="shared" ca="1" si="1"/>
        <v>#NAME?</v>
      </c>
      <c r="G15" s="4" t="e">
        <f t="shared" ca="1" si="0"/>
        <v>#NAME?</v>
      </c>
      <c r="H15" s="1" t="s">
        <v>43</v>
      </c>
      <c r="I15" s="13" t="e">
        <f ca="1">MIN(F15,F14,20)</f>
        <v>#NAME?</v>
      </c>
      <c r="J15" s="13" t="e">
        <f ca="1">MIN(G15,G14,20)</f>
        <v>#NAME?</v>
      </c>
      <c r="K15" s="3" t="s">
        <v>43</v>
      </c>
      <c r="O15" s="3" t="s">
        <v>43</v>
      </c>
      <c r="R15" s="3" t="s">
        <v>43</v>
      </c>
      <c r="Z15" s="3" t="s">
        <v>43</v>
      </c>
      <c r="AC15" s="3" t="s">
        <v>43</v>
      </c>
      <c r="AF15" s="3" t="s">
        <v>43</v>
      </c>
      <c r="AG15" s="6" t="s">
        <v>123</v>
      </c>
      <c r="AH15" s="47"/>
      <c r="AI15" s="47"/>
      <c r="AJ15" s="47"/>
      <c r="AK15" s="47"/>
      <c r="AL15" s="47"/>
      <c r="AM15" s="47"/>
      <c r="AN15" s="3" t="s">
        <v>43</v>
      </c>
    </row>
    <row r="16" spans="1:40" x14ac:dyDescent="0.15">
      <c r="E16" s="3" t="s">
        <v>20</v>
      </c>
      <c r="F16" s="4" t="e">
        <f t="shared" ca="1" si="1"/>
        <v>#NAME?</v>
      </c>
      <c r="G16" s="4" t="e">
        <f t="shared" ca="1" si="0"/>
        <v>#NAME?</v>
      </c>
      <c r="H16" s="1" t="s">
        <v>43</v>
      </c>
      <c r="I16" s="13" t="e">
        <f ca="1">MIN(F16,12)</f>
        <v>#NAME?</v>
      </c>
      <c r="J16" s="13" t="e">
        <f ca="1">MIN(G16,12)</f>
        <v>#NAME?</v>
      </c>
      <c r="K16" s="3" t="s">
        <v>43</v>
      </c>
      <c r="O16" s="3" t="s">
        <v>43</v>
      </c>
      <c r="R16" s="3" t="s">
        <v>43</v>
      </c>
      <c r="Z16" s="3" t="s">
        <v>43</v>
      </c>
      <c r="AC16" s="3" t="s">
        <v>43</v>
      </c>
      <c r="AF16" s="3" t="s">
        <v>43</v>
      </c>
      <c r="AG16" s="6" t="s">
        <v>124</v>
      </c>
      <c r="AH16" s="47"/>
      <c r="AI16" s="47"/>
      <c r="AJ16" s="47">
        <v>20</v>
      </c>
      <c r="AK16" s="47">
        <v>-20</v>
      </c>
      <c r="AL16" s="47"/>
      <c r="AM16" s="47"/>
      <c r="AN16" s="3" t="s">
        <v>43</v>
      </c>
    </row>
    <row r="17" spans="1:40" x14ac:dyDescent="0.15">
      <c r="E17" s="54" t="s">
        <v>25</v>
      </c>
      <c r="F17" s="4" t="e">
        <f t="shared" ca="1" si="1"/>
        <v>#NAME?</v>
      </c>
      <c r="G17" s="4" t="e">
        <f t="shared" ca="1" si="0"/>
        <v>#NAME?</v>
      </c>
      <c r="H17" s="14" t="s">
        <v>24</v>
      </c>
      <c r="I17" s="15" t="e">
        <f ca="1">F17</f>
        <v>#NAME?</v>
      </c>
      <c r="J17" s="15" t="e">
        <f ca="1">G17</f>
        <v>#NAME?</v>
      </c>
      <c r="K17" s="3" t="s">
        <v>43</v>
      </c>
      <c r="O17" s="3" t="s">
        <v>43</v>
      </c>
      <c r="R17" s="3" t="s">
        <v>43</v>
      </c>
      <c r="Z17" s="3" t="s">
        <v>43</v>
      </c>
      <c r="AC17" s="3" t="s">
        <v>43</v>
      </c>
      <c r="AF17" s="3" t="s">
        <v>43</v>
      </c>
      <c r="AG17" s="6" t="s">
        <v>125</v>
      </c>
      <c r="AH17" s="47">
        <v>20</v>
      </c>
      <c r="AI17" s="47">
        <v>10</v>
      </c>
      <c r="AJ17" s="47">
        <v>10</v>
      </c>
      <c r="AK17" s="47"/>
      <c r="AL17" s="47"/>
      <c r="AM17" s="47"/>
      <c r="AN17" s="3" t="s">
        <v>43</v>
      </c>
    </row>
    <row r="18" spans="1:40" x14ac:dyDescent="0.15">
      <c r="E18" s="54" t="s">
        <v>26</v>
      </c>
      <c r="F18" s="4" t="e">
        <f t="shared" ca="1" si="1"/>
        <v>#NAME?</v>
      </c>
      <c r="G18" s="4" t="e">
        <f t="shared" ca="1" si="0"/>
        <v>#NAME?</v>
      </c>
      <c r="H18" s="1" t="s">
        <v>43</v>
      </c>
      <c r="I18" s="15" t="e">
        <f ca="1">F18</f>
        <v>#NAME?</v>
      </c>
      <c r="J18" s="15" t="e">
        <f ca="1">G18</f>
        <v>#NAME?</v>
      </c>
      <c r="K18" s="3" t="s">
        <v>43</v>
      </c>
      <c r="O18" s="3" t="s">
        <v>43</v>
      </c>
      <c r="R18" s="3" t="s">
        <v>43</v>
      </c>
      <c r="Z18" s="3" t="s">
        <v>43</v>
      </c>
      <c r="AC18" s="3" t="s">
        <v>43</v>
      </c>
      <c r="AF18" s="3" t="s">
        <v>43</v>
      </c>
      <c r="AN18" s="3" t="s">
        <v>43</v>
      </c>
    </row>
    <row r="19" spans="1:40" x14ac:dyDescent="0.15">
      <c r="E19" s="54" t="s">
        <v>27</v>
      </c>
      <c r="F19" s="4" t="e">
        <f t="shared" ca="1" si="1"/>
        <v>#NAME?</v>
      </c>
      <c r="G19" s="4" t="e">
        <f t="shared" ca="1" si="0"/>
        <v>#NAME?</v>
      </c>
      <c r="H19" s="1" t="s">
        <v>43</v>
      </c>
      <c r="I19" s="15" t="e">
        <f ca="1">F19-10</f>
        <v>#NAME?</v>
      </c>
      <c r="J19" s="15" t="e">
        <f ca="1">G19-10</f>
        <v>#NAME?</v>
      </c>
      <c r="K19" s="3" t="s">
        <v>43</v>
      </c>
      <c r="O19" s="3" t="s">
        <v>43</v>
      </c>
      <c r="R19" s="3" t="s">
        <v>43</v>
      </c>
      <c r="Z19" s="3" t="s">
        <v>43</v>
      </c>
      <c r="AC19" s="3" t="s">
        <v>43</v>
      </c>
      <c r="AF19" s="3" t="s">
        <v>43</v>
      </c>
      <c r="AN19" s="3" t="s">
        <v>43</v>
      </c>
    </row>
    <row r="20" spans="1:40" x14ac:dyDescent="0.15">
      <c r="E20" s="54" t="s">
        <v>28</v>
      </c>
      <c r="F20" s="4" t="e">
        <f t="shared" ca="1" si="1"/>
        <v>#NAME?</v>
      </c>
      <c r="G20" s="4" t="e">
        <f t="shared" ca="1" si="0"/>
        <v>#NAME?</v>
      </c>
      <c r="H20" s="16" t="s">
        <v>29</v>
      </c>
      <c r="I20" s="17" t="e">
        <f ca="1">F20</f>
        <v>#NAME?</v>
      </c>
      <c r="J20" s="17" t="e">
        <f ca="1">G20</f>
        <v>#NAME?</v>
      </c>
      <c r="K20" s="3" t="s">
        <v>43</v>
      </c>
      <c r="O20" s="3" t="s">
        <v>43</v>
      </c>
      <c r="R20" s="3" t="s">
        <v>43</v>
      </c>
      <c r="Z20" s="3" t="s">
        <v>43</v>
      </c>
      <c r="AC20" s="3" t="s">
        <v>43</v>
      </c>
      <c r="AF20" s="3" t="s">
        <v>43</v>
      </c>
      <c r="AN20" s="3" t="s">
        <v>43</v>
      </c>
    </row>
    <row r="21" spans="1:40" x14ac:dyDescent="0.15">
      <c r="E21" s="54" t="s">
        <v>40</v>
      </c>
      <c r="F21" s="4" t="e">
        <f t="shared" ca="1" si="1"/>
        <v>#NAME?</v>
      </c>
      <c r="G21" s="4" t="e">
        <f t="shared" ca="1" si="0"/>
        <v>#NAME?</v>
      </c>
      <c r="H21" s="1" t="s">
        <v>43</v>
      </c>
      <c r="I21" s="17" t="s">
        <v>142</v>
      </c>
      <c r="J21" s="17" t="e">
        <f ca="1">G21*(100*G22/G3)</f>
        <v>#NAME?</v>
      </c>
      <c r="K21" s="3" t="s">
        <v>43</v>
      </c>
      <c r="O21" s="3" t="s">
        <v>43</v>
      </c>
      <c r="R21" s="3" t="s">
        <v>43</v>
      </c>
      <c r="Z21" s="3" t="s">
        <v>43</v>
      </c>
      <c r="AC21" s="3" t="s">
        <v>43</v>
      </c>
      <c r="AF21" s="3" t="s">
        <v>43</v>
      </c>
      <c r="AN21" s="3" t="s">
        <v>43</v>
      </c>
    </row>
    <row r="22" spans="1:40" x14ac:dyDescent="0.15">
      <c r="E22" s="54" t="s">
        <v>41</v>
      </c>
      <c r="F22" s="4" t="e">
        <f t="shared" ca="1" si="1"/>
        <v>#NAME?</v>
      </c>
      <c r="G22" s="4" t="e">
        <f t="shared" ca="1" si="0"/>
        <v>#NAME?</v>
      </c>
      <c r="H22" s="18" t="s">
        <v>31</v>
      </c>
      <c r="I22" s="19" t="e">
        <f ca="1">SUM(I4:I21)</f>
        <v>#NAME?</v>
      </c>
      <c r="J22" s="19" t="e">
        <f ca="1">SUM(J4:J21)</f>
        <v>#NAME?</v>
      </c>
      <c r="K22" s="3" t="s">
        <v>43</v>
      </c>
      <c r="O22" s="3" t="s">
        <v>43</v>
      </c>
      <c r="R22" s="3" t="s">
        <v>43</v>
      </c>
      <c r="Z22" s="3" t="s">
        <v>43</v>
      </c>
      <c r="AC22" s="3" t="s">
        <v>43</v>
      </c>
      <c r="AF22" s="3" t="s">
        <v>43</v>
      </c>
      <c r="AN22" s="3" t="s">
        <v>43</v>
      </c>
    </row>
    <row r="23" spans="1:40" x14ac:dyDescent="0.15">
      <c r="E23" s="3"/>
      <c r="K23" s="3" t="s">
        <v>43</v>
      </c>
      <c r="O23" s="3" t="s">
        <v>43</v>
      </c>
      <c r="R23" s="3" t="s">
        <v>43</v>
      </c>
      <c r="Z23" s="3" t="s">
        <v>43</v>
      </c>
      <c r="AC23" s="3" t="s">
        <v>43</v>
      </c>
      <c r="AF23" s="3" t="s">
        <v>43</v>
      </c>
      <c r="AN23" s="3" t="s">
        <v>43</v>
      </c>
    </row>
    <row r="24" spans="1:40" x14ac:dyDescent="0.15">
      <c r="E24" s="54" t="s">
        <v>44</v>
      </c>
      <c r="F24" s="4" t="e">
        <f t="shared" ca="1" si="1"/>
        <v>#NAME?</v>
      </c>
      <c r="G24" s="4" t="e">
        <f t="shared" ca="1" si="1"/>
        <v>#NAME?</v>
      </c>
      <c r="H24" s="20" t="s">
        <v>42</v>
      </c>
      <c r="I24" s="21" t="e">
        <f ca="1">IF(F24/F$3&gt;=0.2,1,0)+IF(F24/F$3&gt;=0.5,1,0)</f>
        <v>#NAME?</v>
      </c>
      <c r="J24" s="21" t="e">
        <f ca="1">IF(G24/G3&gt;=0.2,1,0)+IF(G24/G3&gt;=0.5,1,0)</f>
        <v>#NAME?</v>
      </c>
      <c r="K24" s="3" t="s">
        <v>43</v>
      </c>
      <c r="O24" s="3" t="s">
        <v>43</v>
      </c>
      <c r="R24" s="3" t="s">
        <v>43</v>
      </c>
      <c r="Z24" s="3" t="s">
        <v>43</v>
      </c>
      <c r="AC24" s="3" t="s">
        <v>43</v>
      </c>
      <c r="AF24" s="3" t="s">
        <v>43</v>
      </c>
      <c r="AN24" s="3" t="s">
        <v>43</v>
      </c>
    </row>
    <row r="25" spans="1:40" x14ac:dyDescent="0.15">
      <c r="A25" s="41" t="s">
        <v>53</v>
      </c>
      <c r="B25" s="42" t="s">
        <v>57</v>
      </c>
      <c r="C25" s="42" t="s">
        <v>57</v>
      </c>
      <c r="E25" s="54" t="s">
        <v>45</v>
      </c>
      <c r="F25" s="4" t="e">
        <f t="shared" ref="F25:G30" ca="1" si="3">OFFSET(Troop,ROW(F25)-1,F$1)</f>
        <v>#NAME?</v>
      </c>
      <c r="G25" s="4" t="e">
        <f t="shared" ca="1" si="3"/>
        <v>#NAME?</v>
      </c>
      <c r="H25" s="1" t="s">
        <v>43</v>
      </c>
      <c r="I25" s="21" t="e">
        <f ca="1">IF(F25/F$3&gt;=0.2,1,0)</f>
        <v>#NAME?</v>
      </c>
      <c r="J25" s="21" t="e">
        <f ca="1">IF(G25/G$3&gt;=0.2,1,0)</f>
        <v>#NAME?</v>
      </c>
      <c r="K25" s="3" t="s">
        <v>43</v>
      </c>
      <c r="O25" s="3" t="s">
        <v>43</v>
      </c>
      <c r="R25" s="3" t="s">
        <v>43</v>
      </c>
      <c r="Z25" s="3" t="s">
        <v>43</v>
      </c>
      <c r="AC25" s="3" t="s">
        <v>43</v>
      </c>
      <c r="AF25" s="3" t="s">
        <v>43</v>
      </c>
      <c r="AN25" s="3" t="s">
        <v>43</v>
      </c>
    </row>
    <row r="26" spans="1:40" x14ac:dyDescent="0.15">
      <c r="A26" s="41" t="s">
        <v>54</v>
      </c>
      <c r="B26" s="42" t="s">
        <v>57</v>
      </c>
      <c r="C26" s="42" t="s">
        <v>57</v>
      </c>
      <c r="E26" s="54" t="s">
        <v>46</v>
      </c>
      <c r="F26" s="4" t="e">
        <f t="shared" ca="1" si="3"/>
        <v>#NAME?</v>
      </c>
      <c r="G26" s="4" t="e">
        <f t="shared" ca="1" si="3"/>
        <v>#NAME?</v>
      </c>
      <c r="H26" s="1" t="s">
        <v>43</v>
      </c>
      <c r="I26" s="21" t="e">
        <f ca="1">IF(F26/F$3&gt;=0.2,1,0)</f>
        <v>#NAME?</v>
      </c>
      <c r="J26" s="21" t="e">
        <f ca="1">IF(G26/G$3&gt;=0.2,1,0)</f>
        <v>#NAME?</v>
      </c>
      <c r="K26" s="3" t="s">
        <v>43</v>
      </c>
      <c r="O26" s="3" t="s">
        <v>43</v>
      </c>
      <c r="R26" s="3" t="s">
        <v>43</v>
      </c>
      <c r="Z26" s="3" t="s">
        <v>43</v>
      </c>
      <c r="AC26" s="3" t="s">
        <v>43</v>
      </c>
      <c r="AF26" s="3" t="s">
        <v>43</v>
      </c>
      <c r="AN26" s="3" t="s">
        <v>43</v>
      </c>
    </row>
    <row r="27" spans="1:40" x14ac:dyDescent="0.15">
      <c r="A27" s="41" t="s">
        <v>130</v>
      </c>
      <c r="B27" s="42" t="s">
        <v>57</v>
      </c>
      <c r="C27" s="42" t="s">
        <v>57</v>
      </c>
      <c r="E27" s="54" t="s">
        <v>47</v>
      </c>
      <c r="F27" s="4" t="e">
        <f t="shared" ca="1" si="3"/>
        <v>#NAME?</v>
      </c>
      <c r="G27" s="4" t="e">
        <f t="shared" ca="1" si="3"/>
        <v>#NAME?</v>
      </c>
      <c r="H27" s="1" t="s">
        <v>43</v>
      </c>
      <c r="I27" s="21" t="e">
        <f ca="1">IF(F27/F$3&gt;0,1,0)+IF(F27/F$3&gt;=0.2,1,0)+IF(F27/F$3&gt;0.99,1,0)</f>
        <v>#NAME?</v>
      </c>
      <c r="J27" s="21" t="e">
        <f ca="1">IF(G27/G$3&gt;0,1,0)+IF(G27/G$3&gt;=0.2,1,0)+IF(G27/G$3&gt;0.99,1,0)</f>
        <v>#NAME?</v>
      </c>
      <c r="K27" s="3" t="s">
        <v>43</v>
      </c>
      <c r="O27" s="3" t="s">
        <v>43</v>
      </c>
      <c r="R27" s="3" t="s">
        <v>43</v>
      </c>
      <c r="Z27" s="3" t="s">
        <v>43</v>
      </c>
      <c r="AC27" s="3" t="s">
        <v>43</v>
      </c>
      <c r="AF27" s="3" t="s">
        <v>43</v>
      </c>
      <c r="AN27" s="3" t="s">
        <v>43</v>
      </c>
    </row>
    <row r="28" spans="1:40" x14ac:dyDescent="0.15">
      <c r="A28" s="41" t="s">
        <v>55</v>
      </c>
      <c r="B28" s="42" t="s">
        <v>57</v>
      </c>
      <c r="C28" s="42" t="s">
        <v>57</v>
      </c>
      <c r="E28" s="54" t="s">
        <v>48</v>
      </c>
      <c r="F28" s="4" t="e">
        <f t="shared" ca="1" si="3"/>
        <v>#NAME?</v>
      </c>
      <c r="G28" s="4" t="e">
        <f t="shared" ca="1" si="3"/>
        <v>#NAME?</v>
      </c>
      <c r="H28" s="1" t="s">
        <v>43</v>
      </c>
      <c r="I28" s="21" t="e">
        <f ca="1">IF(F28/F$3&gt;0,1,0)+IF(F28/F$3&gt;=0.05,1,0)+IF(F28/F$3&gt;=0.3,1,0)</f>
        <v>#NAME?</v>
      </c>
      <c r="J28" s="21" t="e">
        <f ca="1">IF(G28/G$3&gt;0,1,0)+IF(G28/G$3&gt;=0.05,1,0)+IF(G28/G$3&gt;=0.3,1,0)</f>
        <v>#NAME?</v>
      </c>
      <c r="K28" s="3" t="s">
        <v>43</v>
      </c>
      <c r="O28" s="3" t="s">
        <v>43</v>
      </c>
      <c r="R28" s="3" t="s">
        <v>43</v>
      </c>
      <c r="Z28" s="3" t="s">
        <v>43</v>
      </c>
      <c r="AC28" s="3" t="s">
        <v>43</v>
      </c>
      <c r="AF28" s="3" t="s">
        <v>43</v>
      </c>
      <c r="AN28" s="3" t="s">
        <v>43</v>
      </c>
    </row>
    <row r="29" spans="1:40" x14ac:dyDescent="0.15">
      <c r="A29" s="41" t="s">
        <v>56</v>
      </c>
      <c r="B29" s="42" t="s">
        <v>57</v>
      </c>
      <c r="C29" s="42" t="s">
        <v>57</v>
      </c>
      <c r="E29" s="54" t="s">
        <v>49</v>
      </c>
      <c r="F29" s="4" t="e">
        <f t="shared" ca="1" si="3"/>
        <v>#NAME?</v>
      </c>
      <c r="G29" s="4" t="e">
        <f t="shared" ca="1" si="3"/>
        <v>#NAME?</v>
      </c>
      <c r="H29" s="1" t="s">
        <v>43</v>
      </c>
      <c r="I29" s="21" t="e">
        <f ca="1">IF(F29/F$3&gt;=0.01,1,0)+IF(F29/F$3&gt;=0.2,1,0)</f>
        <v>#NAME?</v>
      </c>
      <c r="J29" s="21" t="e">
        <f ca="1">IF(G29/G$3&gt;=0.01,1,0)+IF(G29/G$3&gt;=0.2,1,0)</f>
        <v>#NAME?</v>
      </c>
      <c r="K29" s="3" t="s">
        <v>43</v>
      </c>
      <c r="O29" s="3" t="s">
        <v>43</v>
      </c>
      <c r="R29" s="3" t="s">
        <v>43</v>
      </c>
      <c r="Z29" s="3" t="s">
        <v>43</v>
      </c>
      <c r="AC29" s="3" t="s">
        <v>43</v>
      </c>
      <c r="AF29" s="3" t="s">
        <v>43</v>
      </c>
      <c r="AN29" s="3" t="s">
        <v>43</v>
      </c>
    </row>
    <row r="30" spans="1:40" x14ac:dyDescent="0.15">
      <c r="A30" s="6" t="s">
        <v>59</v>
      </c>
      <c r="B30" s="5" t="s">
        <v>57</v>
      </c>
      <c r="C30" s="5" t="s">
        <v>57</v>
      </c>
      <c r="E30" s="54" t="s">
        <v>50</v>
      </c>
      <c r="F30" s="4" t="e">
        <f t="shared" ca="1" si="3"/>
        <v>#NAME?</v>
      </c>
      <c r="G30" s="4" t="e">
        <f t="shared" ca="1" si="3"/>
        <v>#NAME?</v>
      </c>
      <c r="H30" s="1" t="s">
        <v>43</v>
      </c>
      <c r="I30" s="21" t="e">
        <f ca="1">IF(F30/F$3&gt;0.99,1,0)</f>
        <v>#NAME?</v>
      </c>
      <c r="J30" s="21" t="e">
        <f ca="1">IF(G30/G$3&gt;0.99,1,0)</f>
        <v>#NAME?</v>
      </c>
      <c r="K30" s="3" t="s">
        <v>43</v>
      </c>
      <c r="O30" s="3" t="s">
        <v>43</v>
      </c>
      <c r="R30" s="3" t="s">
        <v>43</v>
      </c>
      <c r="Z30" s="3" t="s">
        <v>43</v>
      </c>
      <c r="AC30" s="3" t="s">
        <v>43</v>
      </c>
      <c r="AF30" s="3" t="s">
        <v>43</v>
      </c>
      <c r="AN30" s="3" t="s">
        <v>43</v>
      </c>
    </row>
    <row r="31" spans="1:40" x14ac:dyDescent="0.15">
      <c r="A31" s="6" t="s">
        <v>62</v>
      </c>
      <c r="B31" s="5" t="s">
        <v>57</v>
      </c>
      <c r="C31" s="5" t="s">
        <v>57</v>
      </c>
      <c r="E31" s="55" t="s">
        <v>43</v>
      </c>
      <c r="H31" s="22" t="s">
        <v>51</v>
      </c>
      <c r="I31" s="23" t="e">
        <f ca="1">SUM(I24:I30)</f>
        <v>#NAME?</v>
      </c>
      <c r="J31" s="23" t="e">
        <f ca="1">SUM(J24:J30)</f>
        <v>#NAME?</v>
      </c>
      <c r="K31" s="3" t="s">
        <v>43</v>
      </c>
      <c r="O31" s="3" t="s">
        <v>43</v>
      </c>
      <c r="R31" s="3" t="s">
        <v>43</v>
      </c>
      <c r="Z31" s="3" t="s">
        <v>43</v>
      </c>
      <c r="AC31" s="3" t="s">
        <v>43</v>
      </c>
      <c r="AF31" s="3" t="s">
        <v>43</v>
      </c>
      <c r="AN31" s="3" t="s">
        <v>43</v>
      </c>
    </row>
    <row r="32" spans="1:40" x14ac:dyDescent="0.15">
      <c r="A32" s="6" t="s">
        <v>60</v>
      </c>
      <c r="B32" s="5" t="s">
        <v>57</v>
      </c>
      <c r="C32" s="5" t="s">
        <v>57</v>
      </c>
      <c r="E32" s="55" t="s">
        <v>43</v>
      </c>
      <c r="K32" s="3" t="s">
        <v>43</v>
      </c>
      <c r="O32" s="3" t="s">
        <v>43</v>
      </c>
      <c r="R32" s="3" t="s">
        <v>43</v>
      </c>
      <c r="Z32" s="3" t="s">
        <v>43</v>
      </c>
      <c r="AC32" s="3" t="s">
        <v>43</v>
      </c>
      <c r="AF32" s="3" t="s">
        <v>43</v>
      </c>
      <c r="AN32" s="3" t="s">
        <v>43</v>
      </c>
    </row>
    <row r="33" spans="1:40" x14ac:dyDescent="0.15">
      <c r="A33" s="41" t="s">
        <v>63</v>
      </c>
      <c r="B33" s="42" t="s">
        <v>57</v>
      </c>
      <c r="C33" s="42" t="s">
        <v>57</v>
      </c>
      <c r="E33" s="55" t="s">
        <v>43</v>
      </c>
      <c r="F33" s="5" t="e">
        <f ca="1">F3*IF(B45="Y",4,1)</f>
        <v>#NAME?</v>
      </c>
      <c r="G33" s="5" t="e">
        <f ca="1">G3*IF(C45="Y",4,1)</f>
        <v>#NAME?</v>
      </c>
      <c r="H33" s="24" t="s">
        <v>52</v>
      </c>
      <c r="I33" s="24" t="e">
        <f>Computations!C40</f>
        <v>#NAME?</v>
      </c>
      <c r="J33" s="24" t="e">
        <f ca="1">IF(G33&gt;F33,VLOOKUP(G33/F33,Ratio,2),0)</f>
        <v>#NAME?</v>
      </c>
      <c r="K33" s="3" t="s">
        <v>43</v>
      </c>
      <c r="O33" s="3" t="s">
        <v>43</v>
      </c>
      <c r="R33" s="3" t="s">
        <v>43</v>
      </c>
      <c r="Z33" s="3" t="s">
        <v>43</v>
      </c>
      <c r="AC33" s="3" t="s">
        <v>43</v>
      </c>
      <c r="AF33" s="3" t="s">
        <v>43</v>
      </c>
      <c r="AN33" s="3" t="s">
        <v>43</v>
      </c>
    </row>
    <row r="34" spans="1:40" x14ac:dyDescent="0.15">
      <c r="A34" s="41" t="s">
        <v>64</v>
      </c>
      <c r="B34" s="42" t="s">
        <v>57</v>
      </c>
      <c r="C34" s="42" t="s">
        <v>57</v>
      </c>
      <c r="E34" s="55" t="s">
        <v>43</v>
      </c>
      <c r="F34" s="7" t="str">
        <f>B25</f>
        <v>N</v>
      </c>
      <c r="G34" s="7" t="str">
        <f>C25</f>
        <v>N</v>
      </c>
      <c r="H34" s="25" t="s">
        <v>58</v>
      </c>
      <c r="I34" s="26">
        <f>IF(F34="Y",10,0)</f>
        <v>0</v>
      </c>
      <c r="J34" s="26">
        <f>IF(G34="Y",10,0)</f>
        <v>0</v>
      </c>
      <c r="K34" s="3" t="s">
        <v>43</v>
      </c>
      <c r="O34" s="3" t="s">
        <v>43</v>
      </c>
      <c r="R34" s="3" t="s">
        <v>43</v>
      </c>
      <c r="Z34" s="3" t="s">
        <v>43</v>
      </c>
      <c r="AC34" s="3" t="s">
        <v>43</v>
      </c>
      <c r="AF34" s="3" t="s">
        <v>43</v>
      </c>
      <c r="AN34" s="3" t="s">
        <v>43</v>
      </c>
    </row>
    <row r="35" spans="1:40" x14ac:dyDescent="0.15">
      <c r="A35" s="41" t="s">
        <v>66</v>
      </c>
      <c r="B35" s="42" t="s">
        <v>57</v>
      </c>
      <c r="C35" s="42" t="s">
        <v>57</v>
      </c>
      <c r="E35" s="55" t="s">
        <v>43</v>
      </c>
      <c r="F35" s="7" t="str">
        <f>B26</f>
        <v>N</v>
      </c>
      <c r="G35" s="7" t="str">
        <f>C26</f>
        <v>N</v>
      </c>
      <c r="I35" s="26">
        <f>IF(F35="Y",10,0)</f>
        <v>0</v>
      </c>
      <c r="J35" s="26">
        <f>IF(G35="Y",10,0)</f>
        <v>0</v>
      </c>
      <c r="K35" s="3" t="s">
        <v>43</v>
      </c>
      <c r="O35" s="3" t="s">
        <v>43</v>
      </c>
      <c r="R35" s="3" t="s">
        <v>43</v>
      </c>
      <c r="Z35" s="3" t="s">
        <v>43</v>
      </c>
      <c r="AC35" s="3" t="s">
        <v>43</v>
      </c>
      <c r="AF35" s="3" t="s">
        <v>43</v>
      </c>
      <c r="AN35" s="3" t="s">
        <v>43</v>
      </c>
    </row>
    <row r="36" spans="1:40" x14ac:dyDescent="0.15">
      <c r="A36" s="41" t="s">
        <v>65</v>
      </c>
      <c r="B36" s="42" t="s">
        <v>57</v>
      </c>
      <c r="C36" s="42" t="s">
        <v>57</v>
      </c>
      <c r="E36" s="55" t="s">
        <v>43</v>
      </c>
      <c r="I36" s="26" t="e">
        <f ca="1">IF(VLOOKUP($B$4,TroopClass,3)&gt;=VLOOKUP($C$4,TroopClass,3)+1,10,0)</f>
        <v>#NAME?</v>
      </c>
      <c r="J36" s="26" t="e">
        <f ca="1">IF(VLOOKUP($C$4,TroopClass,3)&gt;=VLOOKUP($B$4,TroopClass,3)+1,10,0)</f>
        <v>#NAME?</v>
      </c>
      <c r="K36" s="3" t="s">
        <v>43</v>
      </c>
      <c r="O36" s="3" t="s">
        <v>43</v>
      </c>
      <c r="R36" s="3" t="s">
        <v>43</v>
      </c>
      <c r="Z36" s="3" t="s">
        <v>43</v>
      </c>
      <c r="AC36" s="3" t="s">
        <v>43</v>
      </c>
      <c r="AF36" s="3" t="s">
        <v>43</v>
      </c>
      <c r="AN36" s="3" t="s">
        <v>43</v>
      </c>
    </row>
    <row r="37" spans="1:40" x14ac:dyDescent="0.15">
      <c r="A37" s="41" t="s">
        <v>67</v>
      </c>
      <c r="B37" s="42" t="s">
        <v>57</v>
      </c>
      <c r="C37" s="42" t="s">
        <v>57</v>
      </c>
      <c r="E37" s="55" t="s">
        <v>43</v>
      </c>
      <c r="F37" s="7" t="str">
        <f>B27</f>
        <v>N</v>
      </c>
      <c r="G37" s="7" t="str">
        <f>C27</f>
        <v>N</v>
      </c>
      <c r="I37" s="26">
        <f>IF(F37="Y",-20,0)</f>
        <v>0</v>
      </c>
      <c r="J37" s="26">
        <f>IF(G37="Y",-20,0)</f>
        <v>0</v>
      </c>
      <c r="K37" s="3" t="s">
        <v>43</v>
      </c>
      <c r="O37" s="3" t="s">
        <v>43</v>
      </c>
      <c r="R37" s="3" t="s">
        <v>43</v>
      </c>
      <c r="Z37" s="3" t="s">
        <v>43</v>
      </c>
      <c r="AC37" s="3" t="s">
        <v>43</v>
      </c>
      <c r="AF37" s="3" t="s">
        <v>43</v>
      </c>
      <c r="AN37" s="3" t="s">
        <v>43</v>
      </c>
    </row>
    <row r="38" spans="1:40" x14ac:dyDescent="0.15">
      <c r="A38" s="41" t="s">
        <v>68</v>
      </c>
      <c r="B38" s="42" t="s">
        <v>57</v>
      </c>
      <c r="C38" s="42" t="s">
        <v>57</v>
      </c>
      <c r="E38" s="55" t="s">
        <v>43</v>
      </c>
      <c r="F38" s="7" t="str">
        <f>B28</f>
        <v>N</v>
      </c>
      <c r="G38" s="7" t="str">
        <f t="shared" ref="G38:G51" si="4">C28</f>
        <v>N</v>
      </c>
      <c r="I38" s="26">
        <f>IF(G38="Y",30,0)</f>
        <v>0</v>
      </c>
      <c r="J38" s="26">
        <f>IF(F38="Y",30,0)</f>
        <v>0</v>
      </c>
      <c r="K38" s="3" t="s">
        <v>43</v>
      </c>
      <c r="O38" s="3" t="s">
        <v>43</v>
      </c>
      <c r="R38" s="3" t="s">
        <v>43</v>
      </c>
      <c r="Z38" s="3" t="s">
        <v>43</v>
      </c>
      <c r="AC38" s="3" t="s">
        <v>43</v>
      </c>
      <c r="AF38" s="3" t="s">
        <v>43</v>
      </c>
      <c r="AN38" s="3" t="s">
        <v>43</v>
      </c>
    </row>
    <row r="39" spans="1:40" x14ac:dyDescent="0.15">
      <c r="A39" s="41" t="s">
        <v>69</v>
      </c>
      <c r="B39" s="42" t="s">
        <v>57</v>
      </c>
      <c r="C39" s="42" t="s">
        <v>57</v>
      </c>
      <c r="E39" s="55" t="s">
        <v>43</v>
      </c>
      <c r="F39" s="7" t="str">
        <f t="shared" ref="F39:F51" si="5">B29</f>
        <v>N</v>
      </c>
      <c r="G39" s="7" t="str">
        <f t="shared" si="4"/>
        <v>N</v>
      </c>
      <c r="I39" s="26">
        <f>IF(F39="Y",-10,0)</f>
        <v>0</v>
      </c>
      <c r="J39" s="26">
        <f>IF(G39="Y",-10,0)</f>
        <v>0</v>
      </c>
      <c r="K39" s="3" t="s">
        <v>43</v>
      </c>
      <c r="O39" s="3" t="s">
        <v>43</v>
      </c>
      <c r="R39" s="3" t="s">
        <v>43</v>
      </c>
      <c r="Z39" s="3" t="s">
        <v>43</v>
      </c>
      <c r="AC39" s="3" t="s">
        <v>43</v>
      </c>
      <c r="AF39" s="3" t="s">
        <v>43</v>
      </c>
      <c r="AN39" s="3" t="s">
        <v>43</v>
      </c>
    </row>
    <row r="40" spans="1:40" x14ac:dyDescent="0.15">
      <c r="A40" s="41" t="s">
        <v>78</v>
      </c>
      <c r="B40" s="42" t="s">
        <v>57</v>
      </c>
      <c r="C40" s="42" t="s">
        <v>57</v>
      </c>
      <c r="E40" s="55" t="s">
        <v>43</v>
      </c>
      <c r="F40" s="7" t="str">
        <f t="shared" si="5"/>
        <v>N</v>
      </c>
      <c r="G40" s="7" t="str">
        <f t="shared" si="4"/>
        <v>N</v>
      </c>
      <c r="H40" s="27" t="s">
        <v>61</v>
      </c>
      <c r="I40" s="28">
        <f>IF(F40="Y",25,0)</f>
        <v>0</v>
      </c>
      <c r="J40" s="28">
        <f>IF(G40="Y",25,0)</f>
        <v>0</v>
      </c>
      <c r="K40" s="3" t="s">
        <v>43</v>
      </c>
      <c r="O40" s="3" t="s">
        <v>43</v>
      </c>
      <c r="R40" s="3" t="s">
        <v>43</v>
      </c>
      <c r="Z40" s="3" t="s">
        <v>43</v>
      </c>
      <c r="AC40" s="3" t="s">
        <v>43</v>
      </c>
      <c r="AF40" s="3" t="s">
        <v>43</v>
      </c>
      <c r="AN40" s="3" t="s">
        <v>43</v>
      </c>
    </row>
    <row r="41" spans="1:40" x14ac:dyDescent="0.15">
      <c r="A41" s="41" t="s">
        <v>70</v>
      </c>
      <c r="B41" s="42" t="s">
        <v>57</v>
      </c>
      <c r="C41" s="42" t="s">
        <v>57</v>
      </c>
      <c r="E41" s="55" t="s">
        <v>43</v>
      </c>
      <c r="F41" s="7" t="str">
        <f t="shared" si="5"/>
        <v>N</v>
      </c>
      <c r="G41" s="7" t="str">
        <f t="shared" si="4"/>
        <v>N</v>
      </c>
      <c r="I41" s="28">
        <f>IF(F41="Y",-25,0)</f>
        <v>0</v>
      </c>
      <c r="J41" s="28">
        <f>IF(G41="Y",-25,0)</f>
        <v>0</v>
      </c>
      <c r="K41" s="3" t="s">
        <v>43</v>
      </c>
      <c r="O41" s="3" t="s">
        <v>43</v>
      </c>
      <c r="R41" s="3" t="s">
        <v>43</v>
      </c>
      <c r="Z41" s="3" t="s">
        <v>43</v>
      </c>
      <c r="AC41" s="3" t="s">
        <v>43</v>
      </c>
      <c r="AF41" s="3" t="s">
        <v>43</v>
      </c>
      <c r="AN41" s="3" t="s">
        <v>43</v>
      </c>
    </row>
    <row r="42" spans="1:40" x14ac:dyDescent="0.15">
      <c r="A42" s="41" t="s">
        <v>71</v>
      </c>
      <c r="B42" s="42" t="s">
        <v>57</v>
      </c>
      <c r="C42" s="42" t="s">
        <v>57</v>
      </c>
      <c r="E42" s="55" t="s">
        <v>43</v>
      </c>
      <c r="F42" s="7" t="str">
        <f t="shared" si="5"/>
        <v>N</v>
      </c>
      <c r="G42" s="7" t="str">
        <f t="shared" si="4"/>
        <v>N</v>
      </c>
      <c r="I42" s="28">
        <f t="shared" ref="I42:J44" si="6">IF(F42="Y",20,0)</f>
        <v>0</v>
      </c>
      <c r="J42" s="28">
        <f t="shared" si="6"/>
        <v>0</v>
      </c>
      <c r="K42" s="3" t="s">
        <v>43</v>
      </c>
      <c r="O42" s="3" t="s">
        <v>43</v>
      </c>
      <c r="R42" s="3" t="s">
        <v>43</v>
      </c>
      <c r="Z42" s="3" t="s">
        <v>43</v>
      </c>
      <c r="AC42" s="3" t="s">
        <v>43</v>
      </c>
      <c r="AF42" s="3" t="s">
        <v>43</v>
      </c>
      <c r="AN42" s="3" t="s">
        <v>43</v>
      </c>
    </row>
    <row r="43" spans="1:40" x14ac:dyDescent="0.15">
      <c r="A43" s="41" t="s">
        <v>72</v>
      </c>
      <c r="B43" s="42" t="s">
        <v>57</v>
      </c>
      <c r="C43" s="42" t="s">
        <v>57</v>
      </c>
      <c r="E43" s="55" t="s">
        <v>43</v>
      </c>
      <c r="F43" s="7" t="str">
        <f t="shared" si="5"/>
        <v>N</v>
      </c>
      <c r="G43" s="7" t="str">
        <f t="shared" si="4"/>
        <v>N</v>
      </c>
      <c r="H43" s="29" t="s">
        <v>74</v>
      </c>
      <c r="I43" s="30">
        <f t="shared" si="6"/>
        <v>0</v>
      </c>
      <c r="J43" s="30">
        <f t="shared" si="6"/>
        <v>0</v>
      </c>
      <c r="K43" s="3" t="s">
        <v>43</v>
      </c>
      <c r="O43" s="3" t="s">
        <v>43</v>
      </c>
      <c r="R43" s="3" t="s">
        <v>43</v>
      </c>
      <c r="Z43" s="3" t="s">
        <v>43</v>
      </c>
      <c r="AC43" s="3" t="s">
        <v>43</v>
      </c>
      <c r="AF43" s="3" t="s">
        <v>43</v>
      </c>
      <c r="AN43" s="3" t="s">
        <v>43</v>
      </c>
    </row>
    <row r="44" spans="1:40" x14ac:dyDescent="0.15">
      <c r="A44" s="41" t="s">
        <v>73</v>
      </c>
      <c r="B44" s="42" t="s">
        <v>57</v>
      </c>
      <c r="C44" s="42" t="s">
        <v>57</v>
      </c>
      <c r="E44" s="55" t="s">
        <v>43</v>
      </c>
      <c r="F44" s="7" t="str">
        <f t="shared" si="5"/>
        <v>N</v>
      </c>
      <c r="G44" s="7" t="str">
        <f t="shared" si="4"/>
        <v>N</v>
      </c>
      <c r="I44" s="30">
        <f t="shared" si="6"/>
        <v>0</v>
      </c>
      <c r="J44" s="30">
        <f t="shared" si="6"/>
        <v>0</v>
      </c>
      <c r="K44" s="3" t="s">
        <v>43</v>
      </c>
      <c r="O44" s="3" t="s">
        <v>43</v>
      </c>
      <c r="R44" s="3" t="s">
        <v>43</v>
      </c>
      <c r="Z44" s="3" t="s">
        <v>43</v>
      </c>
      <c r="AC44" s="3" t="s">
        <v>43</v>
      </c>
      <c r="AF44" s="3" t="s">
        <v>43</v>
      </c>
      <c r="AN44" s="3" t="s">
        <v>43</v>
      </c>
    </row>
    <row r="45" spans="1:40" x14ac:dyDescent="0.15">
      <c r="A45" s="43" t="s">
        <v>113</v>
      </c>
      <c r="B45" s="44" t="s">
        <v>57</v>
      </c>
      <c r="C45" s="44" t="s">
        <v>57</v>
      </c>
      <c r="E45" s="55" t="s">
        <v>43</v>
      </c>
      <c r="F45" s="7" t="str">
        <f t="shared" si="5"/>
        <v>N</v>
      </c>
      <c r="G45" s="7" t="str">
        <f t="shared" si="4"/>
        <v>N</v>
      </c>
      <c r="I45" s="30">
        <f>IF(F45="Y",10,0)</f>
        <v>0</v>
      </c>
      <c r="J45" s="30">
        <f>IF(G45="Y",10,0)</f>
        <v>0</v>
      </c>
      <c r="K45" s="3" t="s">
        <v>43</v>
      </c>
      <c r="O45" s="3" t="s">
        <v>43</v>
      </c>
      <c r="R45" s="3" t="s">
        <v>43</v>
      </c>
      <c r="Z45" s="3" t="s">
        <v>43</v>
      </c>
      <c r="AC45" s="3" t="s">
        <v>43</v>
      </c>
      <c r="AF45" s="3" t="s">
        <v>43</v>
      </c>
      <c r="AN45" s="3" t="s">
        <v>43</v>
      </c>
    </row>
    <row r="46" spans="1:40" x14ac:dyDescent="0.15">
      <c r="A46" s="43" t="s">
        <v>114</v>
      </c>
      <c r="B46" s="44">
        <v>0</v>
      </c>
      <c r="C46" s="44">
        <v>0</v>
      </c>
      <c r="E46" s="55" t="s">
        <v>43</v>
      </c>
      <c r="F46" s="7" t="str">
        <f t="shared" si="5"/>
        <v>N</v>
      </c>
      <c r="G46" s="7" t="str">
        <f t="shared" si="4"/>
        <v>N</v>
      </c>
      <c r="I46" s="30">
        <f>IF(F46="Y",20,0)</f>
        <v>0</v>
      </c>
      <c r="J46" s="30">
        <f>IF(G46="Y",20,0)</f>
        <v>0</v>
      </c>
      <c r="K46" s="3" t="s">
        <v>43</v>
      </c>
      <c r="O46" s="3" t="s">
        <v>43</v>
      </c>
      <c r="R46" s="3" t="s">
        <v>43</v>
      </c>
      <c r="Z46" s="3" t="s">
        <v>43</v>
      </c>
      <c r="AC46" s="3" t="s">
        <v>43</v>
      </c>
      <c r="AF46" s="3" t="s">
        <v>43</v>
      </c>
      <c r="AN46" s="3" t="s">
        <v>43</v>
      </c>
    </row>
    <row r="47" spans="1:40" x14ac:dyDescent="0.15">
      <c r="A47" s="41" t="s">
        <v>75</v>
      </c>
      <c r="B47" s="42">
        <v>0</v>
      </c>
      <c r="C47" s="42">
        <v>0</v>
      </c>
      <c r="E47" s="55" t="s">
        <v>43</v>
      </c>
      <c r="F47" s="7" t="str">
        <f t="shared" si="5"/>
        <v>N</v>
      </c>
      <c r="G47" s="7" t="str">
        <f t="shared" si="4"/>
        <v>N</v>
      </c>
      <c r="I47" s="30">
        <f>IF(F47="Y",-20,0)</f>
        <v>0</v>
      </c>
      <c r="J47" s="30">
        <f>IF(G47="Y",-20,0)</f>
        <v>0</v>
      </c>
      <c r="K47" s="3" t="s">
        <v>43</v>
      </c>
      <c r="O47" s="3" t="s">
        <v>43</v>
      </c>
      <c r="R47" s="3" t="s">
        <v>43</v>
      </c>
      <c r="Z47" s="3" t="s">
        <v>43</v>
      </c>
      <c r="AC47" s="3" t="s">
        <v>43</v>
      </c>
      <c r="AF47" s="3" t="s">
        <v>43</v>
      </c>
      <c r="AN47" s="3" t="s">
        <v>43</v>
      </c>
    </row>
    <row r="48" spans="1:40" x14ac:dyDescent="0.15">
      <c r="A48" s="43" t="s">
        <v>97</v>
      </c>
      <c r="B48" s="44">
        <v>0</v>
      </c>
      <c r="C48" s="44">
        <v>0</v>
      </c>
      <c r="E48" s="55" t="s">
        <v>43</v>
      </c>
      <c r="F48" s="7" t="str">
        <f t="shared" si="5"/>
        <v>N</v>
      </c>
      <c r="G48" s="7" t="str">
        <f t="shared" si="4"/>
        <v>N</v>
      </c>
      <c r="I48" s="30">
        <f>IF(F48="Y",-20,0)</f>
        <v>0</v>
      </c>
      <c r="J48" s="30">
        <f>IF(G48="Y",-20,0)</f>
        <v>0</v>
      </c>
      <c r="K48" s="3" t="s">
        <v>43</v>
      </c>
      <c r="O48" s="3" t="s">
        <v>43</v>
      </c>
      <c r="R48" s="3" t="s">
        <v>43</v>
      </c>
      <c r="Z48" s="3" t="s">
        <v>43</v>
      </c>
      <c r="AC48" s="3" t="s">
        <v>43</v>
      </c>
      <c r="AF48" s="3" t="s">
        <v>43</v>
      </c>
      <c r="AN48" s="3" t="s">
        <v>43</v>
      </c>
    </row>
    <row r="49" spans="1:40" x14ac:dyDescent="0.15">
      <c r="A49" s="41" t="s">
        <v>131</v>
      </c>
      <c r="B49" s="42">
        <v>0</v>
      </c>
      <c r="C49" s="42">
        <v>0</v>
      </c>
      <c r="E49" s="55" t="s">
        <v>43</v>
      </c>
      <c r="F49" s="7" t="str">
        <f t="shared" si="5"/>
        <v>N</v>
      </c>
      <c r="G49" s="7" t="str">
        <f t="shared" si="4"/>
        <v>N</v>
      </c>
      <c r="I49" s="30">
        <f>IF(F49="Y",-10,0)</f>
        <v>0</v>
      </c>
      <c r="J49" s="30">
        <f>IF(G49="Y",-10,0)</f>
        <v>0</v>
      </c>
      <c r="K49" s="3" t="s">
        <v>43</v>
      </c>
      <c r="O49" s="3" t="s">
        <v>43</v>
      </c>
      <c r="R49" s="3" t="s">
        <v>43</v>
      </c>
      <c r="Z49" s="3" t="s">
        <v>43</v>
      </c>
      <c r="AC49" s="3" t="s">
        <v>43</v>
      </c>
      <c r="AF49" s="3" t="s">
        <v>43</v>
      </c>
      <c r="AN49" s="3" t="s">
        <v>43</v>
      </c>
    </row>
    <row r="50" spans="1:40" x14ac:dyDescent="0.15">
      <c r="A50" s="41" t="s">
        <v>132</v>
      </c>
      <c r="B50" s="42"/>
      <c r="C50" s="42">
        <v>0</v>
      </c>
      <c r="E50" s="55" t="s">
        <v>43</v>
      </c>
      <c r="F50" s="7" t="str">
        <f t="shared" si="5"/>
        <v>N</v>
      </c>
      <c r="G50" s="7" t="str">
        <f t="shared" si="4"/>
        <v>N</v>
      </c>
      <c r="I50" s="30" t="e">
        <f ca="1">IF(F50="Y",10,0)*IF(F29/F$3&gt;0.99,0,IF(F29/F$3&gt;=0.05,0.5,1))</f>
        <v>#NAME?</v>
      </c>
      <c r="J50" s="30" t="e">
        <f ca="1">IF(G50="Y",10,0)*IF(G29/G$3&gt;0.99,0,IF(G29/G$3&gt;=0.05,0.5,1))</f>
        <v>#NAME?</v>
      </c>
      <c r="K50" s="3" t="s">
        <v>43</v>
      </c>
      <c r="O50" s="3" t="s">
        <v>43</v>
      </c>
      <c r="R50" s="3" t="s">
        <v>43</v>
      </c>
      <c r="Z50" s="3" t="s">
        <v>43</v>
      </c>
      <c r="AC50" s="3" t="s">
        <v>43</v>
      </c>
      <c r="AF50" s="3" t="s">
        <v>43</v>
      </c>
      <c r="AN50" s="3" t="s">
        <v>43</v>
      </c>
    </row>
    <row r="51" spans="1:40" x14ac:dyDescent="0.15">
      <c r="A51" s="6" t="s">
        <v>119</v>
      </c>
      <c r="B51" s="5">
        <v>2</v>
      </c>
      <c r="C51" s="5">
        <v>2</v>
      </c>
      <c r="E51" s="55" t="s">
        <v>43</v>
      </c>
      <c r="F51" s="7" t="str">
        <f t="shared" si="5"/>
        <v>N</v>
      </c>
      <c r="G51" s="7" t="str">
        <f t="shared" si="4"/>
        <v>N</v>
      </c>
      <c r="I51" s="30" t="e">
        <f ca="1">IF(F51="Y",50,0)*IF(F29/F$3&gt;0.99,0,IF(F29/F$3&gt;=0.05,0.5,1))</f>
        <v>#NAME?</v>
      </c>
      <c r="J51" s="30" t="e">
        <f ca="1">IF(G51="Y",50,0)*IF(G29/G$3&gt;0.99,0,IF(G29/G$3&gt;=0.05,0.5,1))</f>
        <v>#NAME?</v>
      </c>
      <c r="K51" s="3" t="s">
        <v>43</v>
      </c>
      <c r="O51" s="3" t="s">
        <v>43</v>
      </c>
      <c r="R51" s="3" t="s">
        <v>43</v>
      </c>
      <c r="Z51" s="3" t="s">
        <v>43</v>
      </c>
      <c r="AC51" s="3" t="s">
        <v>43</v>
      </c>
      <c r="AF51" s="3" t="s">
        <v>43</v>
      </c>
      <c r="AN51" s="3" t="s">
        <v>43</v>
      </c>
    </row>
    <row r="52" spans="1:40" x14ac:dyDescent="0.15">
      <c r="A52" s="41" t="s">
        <v>138</v>
      </c>
      <c r="B52" s="42" t="s">
        <v>57</v>
      </c>
      <c r="C52" s="42" t="s">
        <v>57</v>
      </c>
      <c r="E52" s="55" t="s">
        <v>43</v>
      </c>
      <c r="F52" s="7" t="str">
        <f t="shared" ref="F52:G54" si="7">B42</f>
        <v>N</v>
      </c>
      <c r="G52" s="7" t="str">
        <f t="shared" si="7"/>
        <v>N</v>
      </c>
      <c r="I52" s="30" t="e">
        <f ca="1">IF(F52="Y",40,0)*IF(F29/F$3&gt;0.99,0,IF(F29/F$3&gt;=0.05,0.5,1))</f>
        <v>#NAME?</v>
      </c>
      <c r="J52" s="30" t="e">
        <f ca="1">IF(G52="Y",40,0)*IF(G29/G$3&gt;0.99,0,IF(G29/G$3&gt;=0.05,0.5,1))</f>
        <v>#NAME?</v>
      </c>
      <c r="K52" s="3" t="s">
        <v>43</v>
      </c>
      <c r="O52" s="3" t="s">
        <v>43</v>
      </c>
      <c r="R52" s="3" t="s">
        <v>43</v>
      </c>
      <c r="Z52" s="3" t="s">
        <v>43</v>
      </c>
      <c r="AC52" s="3" t="s">
        <v>43</v>
      </c>
      <c r="AF52" s="3" t="s">
        <v>43</v>
      </c>
      <c r="AN52" s="3" t="s">
        <v>43</v>
      </c>
    </row>
    <row r="53" spans="1:40" x14ac:dyDescent="0.15">
      <c r="A53" s="41" t="s">
        <v>139</v>
      </c>
      <c r="B53" s="42">
        <v>0</v>
      </c>
      <c r="C53" s="42">
        <v>0</v>
      </c>
      <c r="E53" s="55" t="s">
        <v>43</v>
      </c>
      <c r="F53" s="7" t="str">
        <f t="shared" si="7"/>
        <v>N</v>
      </c>
      <c r="G53" s="7" t="str">
        <f t="shared" si="7"/>
        <v>N</v>
      </c>
      <c r="I53" s="30" t="e">
        <f ca="1">IF(F53="Y",20,0)*IF(F29/F$3&gt;0.99,0,IF(F29/F$3&gt;=0.05,0.5,1))</f>
        <v>#NAME?</v>
      </c>
      <c r="J53" s="30" t="e">
        <f ca="1">IF(G53="Y",20,0)*IF(G29/G$3&gt;0.99,0,IF(G29/G$3&gt;=0.05,0.5,1))</f>
        <v>#NAME?</v>
      </c>
      <c r="K53" s="3" t="s">
        <v>43</v>
      </c>
      <c r="O53" s="3" t="s">
        <v>43</v>
      </c>
      <c r="R53" s="3" t="s">
        <v>43</v>
      </c>
      <c r="Z53" s="3" t="s">
        <v>43</v>
      </c>
      <c r="AC53" s="3" t="s">
        <v>43</v>
      </c>
      <c r="AF53" s="3" t="s">
        <v>43</v>
      </c>
      <c r="AN53" s="3" t="s">
        <v>43</v>
      </c>
    </row>
    <row r="54" spans="1:40" x14ac:dyDescent="0.15">
      <c r="A54" s="6" t="s">
        <v>134</v>
      </c>
      <c r="B54" s="5">
        <v>0</v>
      </c>
      <c r="C54" s="5">
        <v>0</v>
      </c>
      <c r="E54" s="55" t="s">
        <v>43</v>
      </c>
      <c r="F54" s="7" t="str">
        <f t="shared" si="7"/>
        <v>N</v>
      </c>
      <c r="G54" s="7" t="str">
        <f t="shared" si="7"/>
        <v>N</v>
      </c>
      <c r="I54" s="30" t="e">
        <f ca="1">IF(F54="Y",50,0)*IF(F29/F$3&gt;0.99,0,IF(F29/F$3&gt;=0.05,0.5,1))</f>
        <v>#NAME?</v>
      </c>
      <c r="J54" s="30" t="e">
        <f ca="1">IF(G54="Y",50,0)*IF(G29/G$3&gt;0.99,0,IF(G29/G$3&gt;=0.05,0.5,1))</f>
        <v>#NAME?</v>
      </c>
      <c r="K54" s="3" t="s">
        <v>43</v>
      </c>
      <c r="O54" s="3" t="s">
        <v>43</v>
      </c>
      <c r="R54" s="3" t="s">
        <v>43</v>
      </c>
      <c r="Z54" s="3" t="s">
        <v>43</v>
      </c>
      <c r="AC54" s="3" t="s">
        <v>43</v>
      </c>
      <c r="AF54" s="3" t="s">
        <v>43</v>
      </c>
      <c r="AN54" s="3" t="s">
        <v>43</v>
      </c>
    </row>
    <row r="55" spans="1:40" x14ac:dyDescent="0.15">
      <c r="A55" s="6" t="s">
        <v>135</v>
      </c>
      <c r="B55" s="5">
        <v>0</v>
      </c>
      <c r="C55" s="5">
        <v>0</v>
      </c>
      <c r="E55" s="55" t="s">
        <v>43</v>
      </c>
      <c r="F55" s="7">
        <f>B47</f>
        <v>0</v>
      </c>
      <c r="G55" s="7">
        <f>C47</f>
        <v>0</v>
      </c>
      <c r="H55" s="31" t="s">
        <v>76</v>
      </c>
      <c r="I55" s="32">
        <f>IF(F55/100&gt;=0.01,50,0)+IF(F55/100&gt;=0.8,50,0)+IF(F55/100&gt;0.99,50,0)</f>
        <v>0</v>
      </c>
      <c r="J55" s="32">
        <f>IF(G55/100&gt;=0.01,50,0)+IF(G55/100&gt;=0.8,50,0)+IF(G55/100&gt;0.99,50,0)</f>
        <v>0</v>
      </c>
      <c r="K55" s="3" t="s">
        <v>43</v>
      </c>
      <c r="O55" s="3" t="s">
        <v>43</v>
      </c>
      <c r="R55" s="3" t="s">
        <v>43</v>
      </c>
      <c r="Z55" s="3" t="s">
        <v>43</v>
      </c>
      <c r="AC55" s="3" t="s">
        <v>43</v>
      </c>
      <c r="AF55" s="3" t="s">
        <v>43</v>
      </c>
      <c r="AN55" s="3" t="s">
        <v>43</v>
      </c>
    </row>
    <row r="56" spans="1:40" x14ac:dyDescent="0.15">
      <c r="A56" s="6" t="s">
        <v>136</v>
      </c>
      <c r="B56" s="5">
        <v>0</v>
      </c>
      <c r="C56" s="5">
        <v>0</v>
      </c>
      <c r="E56" s="55" t="s">
        <v>43</v>
      </c>
      <c r="F56" s="7">
        <f>B48</f>
        <v>0</v>
      </c>
      <c r="G56" s="7">
        <f>C48</f>
        <v>0</v>
      </c>
      <c r="H56" s="33" t="s">
        <v>77</v>
      </c>
      <c r="I56" s="34">
        <f>IF(F56=2,-30,IF(F56=1,-10,0))</f>
        <v>0</v>
      </c>
      <c r="J56" s="34">
        <f>IF(G56=2,-30,IF(G56=1,-10,0))</f>
        <v>0</v>
      </c>
      <c r="K56" s="3" t="s">
        <v>43</v>
      </c>
      <c r="O56" s="3" t="s">
        <v>43</v>
      </c>
      <c r="R56" s="3" t="s">
        <v>43</v>
      </c>
      <c r="Z56" s="3" t="s">
        <v>43</v>
      </c>
      <c r="AC56" s="3" t="s">
        <v>43</v>
      </c>
      <c r="AF56" s="3" t="s">
        <v>43</v>
      </c>
      <c r="AN56" s="3" t="s">
        <v>43</v>
      </c>
    </row>
    <row r="57" spans="1:40" x14ac:dyDescent="0.15">
      <c r="A57" s="6" t="s">
        <v>137</v>
      </c>
      <c r="B57" s="5">
        <v>0</v>
      </c>
      <c r="C57" s="5">
        <v>0</v>
      </c>
      <c r="E57" s="55" t="s">
        <v>43</v>
      </c>
      <c r="H57" s="45" t="s">
        <v>118</v>
      </c>
      <c r="I57" s="46">
        <f>IF(C45="Y",5*B46,0)</f>
        <v>0</v>
      </c>
      <c r="J57" s="46">
        <f>IF(B45="Y",5*C46,0)</f>
        <v>0</v>
      </c>
      <c r="K57" s="3" t="s">
        <v>43</v>
      </c>
      <c r="O57" s="3" t="s">
        <v>43</v>
      </c>
      <c r="R57" s="3" t="s">
        <v>43</v>
      </c>
      <c r="Z57" s="3" t="s">
        <v>43</v>
      </c>
      <c r="AC57" s="3" t="s">
        <v>43</v>
      </c>
      <c r="AF57" s="3" t="s">
        <v>43</v>
      </c>
      <c r="AN57" s="3" t="s">
        <v>43</v>
      </c>
    </row>
    <row r="58" spans="1:40" x14ac:dyDescent="0.15">
      <c r="A58" s="41" t="s">
        <v>129</v>
      </c>
      <c r="B58" s="42" t="s">
        <v>57</v>
      </c>
      <c r="C58" s="42" t="s">
        <v>57</v>
      </c>
      <c r="E58" s="55" t="s">
        <v>43</v>
      </c>
      <c r="F58" s="7">
        <f>B49</f>
        <v>0</v>
      </c>
      <c r="G58" s="7">
        <f>C49</f>
        <v>0</v>
      </c>
      <c r="H58" s="50" t="s">
        <v>133</v>
      </c>
      <c r="I58" s="51">
        <f>IF(F58&lt;0,-25,IF(F58=0,0,IF(F58=1,10,IF(F58=2,20,50))))</f>
        <v>0</v>
      </c>
      <c r="J58" s="51">
        <f>IF(G58&lt;0,-25,IF(G58=0,0,IF(G58=1,10,IF(G58=2,20,50))))</f>
        <v>0</v>
      </c>
      <c r="K58" s="3" t="s">
        <v>43</v>
      </c>
      <c r="O58" s="3" t="s">
        <v>43</v>
      </c>
      <c r="R58" s="3" t="s">
        <v>43</v>
      </c>
      <c r="Z58" s="3" t="s">
        <v>43</v>
      </c>
      <c r="AC58" s="3" t="s">
        <v>43</v>
      </c>
      <c r="AF58" s="3" t="s">
        <v>43</v>
      </c>
      <c r="AN58" s="3" t="s">
        <v>43</v>
      </c>
    </row>
    <row r="59" spans="1:40" x14ac:dyDescent="0.15">
      <c r="E59" s="55" t="s">
        <v>43</v>
      </c>
      <c r="F59" s="7">
        <f>B50</f>
        <v>0</v>
      </c>
      <c r="G59" s="7">
        <f>C50</f>
        <v>0</v>
      </c>
      <c r="I59" s="51">
        <f>IF(F59&lt;1,0,IF(F59=1,20,40))</f>
        <v>0</v>
      </c>
      <c r="J59" s="51">
        <f>IF(G59&lt;1,0,IF(G59=1,20,40))</f>
        <v>0</v>
      </c>
      <c r="K59" s="3" t="s">
        <v>43</v>
      </c>
      <c r="O59" s="3" t="s">
        <v>43</v>
      </c>
      <c r="R59" s="3" t="s">
        <v>43</v>
      </c>
      <c r="Z59" s="3" t="s">
        <v>43</v>
      </c>
      <c r="AC59" s="3" t="s">
        <v>43</v>
      </c>
      <c r="AF59" s="3" t="s">
        <v>43</v>
      </c>
      <c r="AN59" s="3" t="s">
        <v>43</v>
      </c>
    </row>
    <row r="60" spans="1:40" x14ac:dyDescent="0.15">
      <c r="E60" s="55" t="s">
        <v>43</v>
      </c>
      <c r="H60" s="48" t="s">
        <v>128</v>
      </c>
      <c r="I60" s="49" t="e">
        <f ca="1">F71</f>
        <v>#NAME?</v>
      </c>
      <c r="J60" s="49" t="e">
        <f ca="1">G71</f>
        <v>#NAME?</v>
      </c>
      <c r="K60" s="3" t="s">
        <v>43</v>
      </c>
      <c r="O60" s="3" t="s">
        <v>43</v>
      </c>
      <c r="R60" s="3" t="s">
        <v>43</v>
      </c>
      <c r="Z60" s="3" t="s">
        <v>43</v>
      </c>
      <c r="AC60" s="3" t="s">
        <v>43</v>
      </c>
      <c r="AF60" s="3" t="s">
        <v>43</v>
      </c>
      <c r="AN60" s="3" t="s">
        <v>43</v>
      </c>
    </row>
    <row r="61" spans="1:40" x14ac:dyDescent="0.15">
      <c r="E61" s="55" t="s">
        <v>43</v>
      </c>
      <c r="F61" s="7" t="str">
        <f t="shared" ref="F61:F66" si="8">B52</f>
        <v>N</v>
      </c>
      <c r="G61" s="7" t="str">
        <f t="shared" ref="G61:G66" si="9">C52</f>
        <v>N</v>
      </c>
      <c r="I61" s="49">
        <f>IF(F61="Y",30,0)</f>
        <v>0</v>
      </c>
      <c r="J61" s="49">
        <f>IF(G61="Y",30,0)</f>
        <v>0</v>
      </c>
      <c r="K61" s="3" t="s">
        <v>43</v>
      </c>
      <c r="O61" s="3" t="s">
        <v>43</v>
      </c>
      <c r="R61" s="3" t="s">
        <v>43</v>
      </c>
      <c r="Z61" s="3" t="s">
        <v>43</v>
      </c>
      <c r="AC61" s="3" t="s">
        <v>43</v>
      </c>
      <c r="AF61" s="3" t="s">
        <v>43</v>
      </c>
      <c r="AN61" s="3" t="s">
        <v>43</v>
      </c>
    </row>
    <row r="62" spans="1:40" x14ac:dyDescent="0.15">
      <c r="E62" s="55" t="s">
        <v>43</v>
      </c>
      <c r="F62" s="7">
        <f t="shared" si="8"/>
        <v>0</v>
      </c>
      <c r="G62" s="7">
        <f t="shared" si="9"/>
        <v>0</v>
      </c>
      <c r="I62" s="49">
        <f>10*(MIN(F62,2))</f>
        <v>0</v>
      </c>
      <c r="J62" s="49">
        <f>10*(MIN(G62,2))</f>
        <v>0</v>
      </c>
      <c r="K62" s="3" t="s">
        <v>43</v>
      </c>
      <c r="O62" s="3" t="s">
        <v>43</v>
      </c>
      <c r="R62" s="3" t="s">
        <v>43</v>
      </c>
      <c r="Z62" s="3" t="s">
        <v>43</v>
      </c>
      <c r="AC62" s="3" t="s">
        <v>43</v>
      </c>
      <c r="AF62" s="3" t="s">
        <v>43</v>
      </c>
      <c r="AN62" s="3" t="s">
        <v>43</v>
      </c>
    </row>
    <row r="63" spans="1:40" x14ac:dyDescent="0.15">
      <c r="E63" s="55" t="s">
        <v>43</v>
      </c>
      <c r="F63" s="7">
        <f t="shared" si="8"/>
        <v>0</v>
      </c>
      <c r="G63" s="7">
        <f t="shared" si="9"/>
        <v>0</v>
      </c>
      <c r="I63" s="49">
        <f>20*F63</f>
        <v>0</v>
      </c>
      <c r="J63" s="49">
        <f>20*G63</f>
        <v>0</v>
      </c>
      <c r="K63" s="3" t="s">
        <v>43</v>
      </c>
      <c r="O63" s="3" t="s">
        <v>43</v>
      </c>
      <c r="R63" s="3" t="s">
        <v>43</v>
      </c>
      <c r="Z63" s="3" t="s">
        <v>43</v>
      </c>
      <c r="AC63" s="3" t="s">
        <v>43</v>
      </c>
      <c r="AF63" s="3" t="s">
        <v>43</v>
      </c>
      <c r="AN63" s="3" t="s">
        <v>43</v>
      </c>
    </row>
    <row r="64" spans="1:40" x14ac:dyDescent="0.15">
      <c r="E64" s="55" t="s">
        <v>43</v>
      </c>
      <c r="F64" s="7">
        <f t="shared" si="8"/>
        <v>0</v>
      </c>
      <c r="G64" s="7">
        <f t="shared" si="9"/>
        <v>0</v>
      </c>
      <c r="I64" s="49">
        <f>10*F64</f>
        <v>0</v>
      </c>
      <c r="J64" s="49">
        <f>10*G64</f>
        <v>0</v>
      </c>
      <c r="K64" s="3" t="s">
        <v>43</v>
      </c>
      <c r="O64" s="3" t="s">
        <v>43</v>
      </c>
      <c r="R64" s="3" t="s">
        <v>43</v>
      </c>
      <c r="Z64" s="3" t="s">
        <v>43</v>
      </c>
      <c r="AC64" s="3" t="s">
        <v>43</v>
      </c>
      <c r="AF64" s="3" t="s">
        <v>43</v>
      </c>
      <c r="AN64" s="3" t="s">
        <v>43</v>
      </c>
    </row>
    <row r="65" spans="5:40" x14ac:dyDescent="0.15">
      <c r="E65" s="55" t="s">
        <v>43</v>
      </c>
      <c r="F65" s="7">
        <f t="shared" si="8"/>
        <v>0</v>
      </c>
      <c r="G65" s="7">
        <f t="shared" si="9"/>
        <v>0</v>
      </c>
      <c r="I65" s="49">
        <f>-20*F65</f>
        <v>0</v>
      </c>
      <c r="J65" s="49">
        <f>-20*G65</f>
        <v>0</v>
      </c>
      <c r="K65" s="3" t="s">
        <v>43</v>
      </c>
      <c r="O65" s="3" t="s">
        <v>43</v>
      </c>
      <c r="R65" s="3" t="s">
        <v>43</v>
      </c>
      <c r="Z65" s="3" t="s">
        <v>43</v>
      </c>
      <c r="AC65" s="3" t="s">
        <v>43</v>
      </c>
      <c r="AF65" s="3" t="s">
        <v>43</v>
      </c>
      <c r="AN65" s="3" t="s">
        <v>43</v>
      </c>
    </row>
    <row r="66" spans="5:40" x14ac:dyDescent="0.15">
      <c r="E66" s="55" t="s">
        <v>43</v>
      </c>
      <c r="F66" s="7">
        <f t="shared" si="8"/>
        <v>0</v>
      </c>
      <c r="G66" s="7">
        <f t="shared" si="9"/>
        <v>0</v>
      </c>
      <c r="I66" s="49">
        <f>-10*F66</f>
        <v>0</v>
      </c>
      <c r="J66" s="49">
        <f>-10*G66</f>
        <v>0</v>
      </c>
      <c r="K66" s="3" t="s">
        <v>43</v>
      </c>
      <c r="O66" s="3" t="s">
        <v>43</v>
      </c>
      <c r="R66" s="3" t="s">
        <v>43</v>
      </c>
      <c r="Z66" s="3" t="s">
        <v>43</v>
      </c>
      <c r="AC66" s="3" t="s">
        <v>43</v>
      </c>
      <c r="AF66" s="3" t="s">
        <v>43</v>
      </c>
      <c r="AN66" s="3" t="s">
        <v>43</v>
      </c>
    </row>
    <row r="67" spans="5:40" x14ac:dyDescent="0.15">
      <c r="E67" s="55" t="s">
        <v>43</v>
      </c>
      <c r="H67" s="35" t="s">
        <v>80</v>
      </c>
      <c r="I67" s="36" t="e">
        <f>SUM(I33:I66)</f>
        <v>#NAME?</v>
      </c>
      <c r="J67" s="36" t="e">
        <f ca="1">SUM(J33:J66)</f>
        <v>#NAME?</v>
      </c>
      <c r="K67" s="3" t="s">
        <v>43</v>
      </c>
      <c r="O67" s="3" t="s">
        <v>43</v>
      </c>
      <c r="R67" s="3" t="s">
        <v>43</v>
      </c>
      <c r="Z67" s="3" t="s">
        <v>43</v>
      </c>
      <c r="AC67" s="3" t="s">
        <v>43</v>
      </c>
      <c r="AF67" s="3" t="s">
        <v>43</v>
      </c>
      <c r="AN67" s="3" t="s">
        <v>43</v>
      </c>
    </row>
    <row r="68" spans="5:40" x14ac:dyDescent="0.15">
      <c r="E68" s="55" t="s">
        <v>43</v>
      </c>
      <c r="K68" s="3" t="s">
        <v>43</v>
      </c>
      <c r="O68" s="3" t="s">
        <v>43</v>
      </c>
      <c r="R68" s="3" t="s">
        <v>43</v>
      </c>
      <c r="Z68" s="3" t="s">
        <v>43</v>
      </c>
      <c r="AC68" s="3" t="s">
        <v>43</v>
      </c>
      <c r="AF68" s="3" t="s">
        <v>43</v>
      </c>
      <c r="AN68" s="3" t="s">
        <v>43</v>
      </c>
    </row>
    <row r="69" spans="5:40" x14ac:dyDescent="0.15">
      <c r="E69" s="55" t="s">
        <v>43</v>
      </c>
      <c r="F69" s="7">
        <f>B51</f>
        <v>2</v>
      </c>
      <c r="G69" s="7">
        <f>C51</f>
        <v>2</v>
      </c>
      <c r="H69" s="1" t="s">
        <v>128</v>
      </c>
      <c r="K69" s="3" t="s">
        <v>43</v>
      </c>
      <c r="O69" s="3" t="s">
        <v>43</v>
      </c>
      <c r="R69" s="3" t="s">
        <v>43</v>
      </c>
      <c r="Z69" s="3" t="s">
        <v>43</v>
      </c>
      <c r="AC69" s="3" t="s">
        <v>43</v>
      </c>
      <c r="AF69" s="3" t="s">
        <v>43</v>
      </c>
      <c r="AN69" s="3" t="s">
        <v>43</v>
      </c>
    </row>
    <row r="70" spans="5:40" x14ac:dyDescent="0.15">
      <c r="E70" s="55" t="s">
        <v>43</v>
      </c>
      <c r="F70" s="4" t="e">
        <f ca="1">OFFSET(TacticsCasualties,G69,F69)</f>
        <v>#NAME?</v>
      </c>
      <c r="G70" s="4" t="e">
        <f ca="1">OFFSET(TacticsCasualties,F69,G69)</f>
        <v>#NAME?</v>
      </c>
      <c r="H70" s="1" t="s">
        <v>94</v>
      </c>
      <c r="K70" s="3" t="s">
        <v>43</v>
      </c>
      <c r="O70" s="3" t="s">
        <v>43</v>
      </c>
      <c r="R70" s="3" t="s">
        <v>43</v>
      </c>
      <c r="Z70" s="3" t="s">
        <v>43</v>
      </c>
      <c r="AC70" s="3" t="s">
        <v>43</v>
      </c>
      <c r="AF70" s="3" t="s">
        <v>43</v>
      </c>
      <c r="AN70" s="3" t="s">
        <v>43</v>
      </c>
    </row>
    <row r="71" spans="5:40" x14ac:dyDescent="0.15">
      <c r="E71" s="55" t="s">
        <v>43</v>
      </c>
      <c r="F71" s="4" t="e">
        <f ca="1">OFFSET(TacticsBonus,G69,F69)</f>
        <v>#NAME?</v>
      </c>
      <c r="G71" s="4" t="e">
        <f ca="1">OFFSET(TacticsBonus,F69,G69)</f>
        <v>#NAME?</v>
      </c>
      <c r="H71" s="1" t="s">
        <v>80</v>
      </c>
      <c r="K71" s="3" t="s">
        <v>43</v>
      </c>
      <c r="O71" s="3" t="s">
        <v>43</v>
      </c>
      <c r="R71" s="3" t="s">
        <v>43</v>
      </c>
      <c r="Z71" s="3" t="s">
        <v>43</v>
      </c>
      <c r="AC71" s="3" t="s">
        <v>43</v>
      </c>
      <c r="AF71" s="3" t="s">
        <v>43</v>
      </c>
      <c r="AN71" s="3" t="s">
        <v>43</v>
      </c>
    </row>
    <row r="72" spans="5:40" x14ac:dyDescent="0.15">
      <c r="E72" s="55" t="s">
        <v>43</v>
      </c>
      <c r="K72" s="3" t="s">
        <v>43</v>
      </c>
      <c r="O72" s="3" t="s">
        <v>43</v>
      </c>
      <c r="R72" s="3" t="s">
        <v>43</v>
      </c>
      <c r="Z72" s="3" t="s">
        <v>43</v>
      </c>
      <c r="AC72" s="3" t="s">
        <v>43</v>
      </c>
      <c r="AF72" s="3" t="s">
        <v>43</v>
      </c>
      <c r="AN72" s="3" t="s">
        <v>43</v>
      </c>
    </row>
    <row r="73" spans="5:40" x14ac:dyDescent="0.15">
      <c r="E73" s="55" t="s">
        <v>43</v>
      </c>
      <c r="F73" s="5" t="s">
        <v>93</v>
      </c>
      <c r="G73" s="37" t="e">
        <f ca="1">INT((I22*(1+I31*0.1)+I67+5*B10)-(J22*(1+J31*0.1)+J67+5*C10))</f>
        <v>#NAME?</v>
      </c>
      <c r="H73" s="4" t="e">
        <f ca="1">ABS(G73)</f>
        <v>#NAME?</v>
      </c>
      <c r="I73" s="4" t="e">
        <f ca="1">IF(G73&gt;0,1,2)</f>
        <v>#NAME?</v>
      </c>
      <c r="K73" s="3" t="s">
        <v>43</v>
      </c>
      <c r="O73" s="3" t="s">
        <v>43</v>
      </c>
      <c r="R73" s="3" t="s">
        <v>43</v>
      </c>
      <c r="Z73" s="3" t="s">
        <v>43</v>
      </c>
      <c r="AC73" s="3" t="s">
        <v>43</v>
      </c>
      <c r="AF73" s="3" t="s">
        <v>43</v>
      </c>
      <c r="AN73" s="3" t="s">
        <v>43</v>
      </c>
    </row>
    <row r="74" spans="5:40" x14ac:dyDescent="0.15">
      <c r="E74" s="55" t="s">
        <v>43</v>
      </c>
      <c r="K74" s="3" t="s">
        <v>43</v>
      </c>
      <c r="O74" s="3" t="s">
        <v>43</v>
      </c>
      <c r="R74" s="3" t="s">
        <v>43</v>
      </c>
      <c r="Z74" s="3" t="s">
        <v>43</v>
      </c>
      <c r="AC74" s="3" t="s">
        <v>43</v>
      </c>
      <c r="AF74" s="3" t="s">
        <v>43</v>
      </c>
      <c r="AN74" s="3" t="s">
        <v>43</v>
      </c>
    </row>
    <row r="75" spans="5:40" x14ac:dyDescent="0.15">
      <c r="E75" s="55" t="s">
        <v>43</v>
      </c>
      <c r="G75" s="5" t="s">
        <v>94</v>
      </c>
      <c r="H75" s="13" t="e">
        <f ca="1">VLOOKUP($H$73,CombatResult,1+I$73)</f>
        <v>#NAME?</v>
      </c>
      <c r="I75" s="13" t="e">
        <f ca="1">VLOOKUP($H$73,CombatResult,4-I$73)</f>
        <v>#NAME?</v>
      </c>
      <c r="K75" s="3" t="s">
        <v>43</v>
      </c>
      <c r="O75" s="3" t="s">
        <v>43</v>
      </c>
      <c r="R75" s="3" t="s">
        <v>43</v>
      </c>
      <c r="Z75" s="3" t="s">
        <v>43</v>
      </c>
      <c r="AC75" s="3" t="s">
        <v>43</v>
      </c>
      <c r="AF75" s="3" t="s">
        <v>43</v>
      </c>
      <c r="AN75" s="3" t="s">
        <v>43</v>
      </c>
    </row>
    <row r="76" spans="5:40" x14ac:dyDescent="0.15">
      <c r="E76" s="55" t="s">
        <v>43</v>
      </c>
      <c r="H76" s="4">
        <f>IF(B45="Y",-INT(H75/2),0)</f>
        <v>0</v>
      </c>
      <c r="I76" s="4">
        <f>IF(C45="Y",-INT(I75/2),0)</f>
        <v>0</v>
      </c>
      <c r="K76" s="3" t="s">
        <v>43</v>
      </c>
      <c r="O76" s="3" t="s">
        <v>43</v>
      </c>
      <c r="R76" s="3" t="s">
        <v>43</v>
      </c>
      <c r="Z76" s="3" t="s">
        <v>43</v>
      </c>
      <c r="AC76" s="3" t="s">
        <v>43</v>
      </c>
      <c r="AF76" s="3" t="s">
        <v>43</v>
      </c>
      <c r="AN76" s="3" t="s">
        <v>43</v>
      </c>
    </row>
    <row r="77" spans="5:40" x14ac:dyDescent="0.15">
      <c r="E77" s="55" t="s">
        <v>43</v>
      </c>
      <c r="H77" s="5"/>
      <c r="K77" s="3" t="s">
        <v>43</v>
      </c>
      <c r="O77" s="3" t="s">
        <v>43</v>
      </c>
      <c r="R77" s="3" t="s">
        <v>43</v>
      </c>
      <c r="Z77" s="3" t="s">
        <v>43</v>
      </c>
      <c r="AC77" s="3" t="s">
        <v>43</v>
      </c>
      <c r="AF77" s="3" t="s">
        <v>43</v>
      </c>
      <c r="AN77" s="3" t="s">
        <v>43</v>
      </c>
    </row>
    <row r="78" spans="5:40" x14ac:dyDescent="0.15">
      <c r="E78" s="55" t="s">
        <v>43</v>
      </c>
      <c r="H78" s="23" t="e">
        <f ca="1">MIN(100,INT(SUM(H75:H77)*(1+F70*0.2))*IF(AND(C58="Y",I73=2),0.5,1))</f>
        <v>#NAME?</v>
      </c>
      <c r="I78" s="23" t="e">
        <f ca="1">MIN(100,INT(SUM(I75:I77)*(1+G70*0.2))*IF(AND(B58="Y",I73=1),0.5,1))</f>
        <v>#NAME?</v>
      </c>
      <c r="K78" s="3" t="s">
        <v>43</v>
      </c>
      <c r="O78" s="3" t="s">
        <v>43</v>
      </c>
      <c r="R78" s="3" t="s">
        <v>43</v>
      </c>
      <c r="Z78" s="3" t="s">
        <v>43</v>
      </c>
      <c r="AC78" s="3" t="s">
        <v>43</v>
      </c>
      <c r="AF78" s="3" t="s">
        <v>43</v>
      </c>
      <c r="AN78" s="3" t="s">
        <v>43</v>
      </c>
    </row>
    <row r="79" spans="5:40" x14ac:dyDescent="0.15">
      <c r="E79" s="55" t="s">
        <v>43</v>
      </c>
      <c r="H79" s="5"/>
      <c r="K79" s="3" t="s">
        <v>43</v>
      </c>
      <c r="O79" s="3" t="s">
        <v>43</v>
      </c>
      <c r="R79" s="3" t="s">
        <v>43</v>
      </c>
      <c r="Z79" s="3" t="s">
        <v>43</v>
      </c>
      <c r="AC79" s="3" t="s">
        <v>43</v>
      </c>
      <c r="AF79" s="3" t="s">
        <v>43</v>
      </c>
      <c r="AN79" s="3" t="s">
        <v>43</v>
      </c>
    </row>
    <row r="80" spans="5:40" x14ac:dyDescent="0.15">
      <c r="E80" s="55" t="s">
        <v>43</v>
      </c>
      <c r="H80" s="5"/>
      <c r="K80" s="3" t="s">
        <v>43</v>
      </c>
      <c r="O80" s="3" t="s">
        <v>43</v>
      </c>
      <c r="R80" s="3" t="s">
        <v>43</v>
      </c>
      <c r="Z80" s="3" t="s">
        <v>43</v>
      </c>
      <c r="AC80" s="3" t="s">
        <v>43</v>
      </c>
      <c r="AF80" s="3" t="s">
        <v>43</v>
      </c>
      <c r="AN80" s="3" t="s">
        <v>43</v>
      </c>
    </row>
    <row r="81" spans="5:40" x14ac:dyDescent="0.15">
      <c r="E81" s="55" t="s">
        <v>43</v>
      </c>
      <c r="G81" s="5" t="s">
        <v>77</v>
      </c>
      <c r="H81" s="13" t="e">
        <f ca="1">VLOOKUP($H$73,CombatResult,3+I$73)</f>
        <v>#NAME?</v>
      </c>
      <c r="I81" s="13" t="e">
        <f ca="1">VLOOKUP($H$73,CombatResult,6-I$73)</f>
        <v>#NAME?</v>
      </c>
      <c r="K81" s="3" t="s">
        <v>43</v>
      </c>
      <c r="O81" s="3" t="s">
        <v>43</v>
      </c>
      <c r="R81" s="3" t="s">
        <v>43</v>
      </c>
      <c r="Z81" s="3" t="s">
        <v>43</v>
      </c>
      <c r="AC81" s="3" t="s">
        <v>43</v>
      </c>
      <c r="AF81" s="3" t="s">
        <v>43</v>
      </c>
      <c r="AN81" s="3" t="s">
        <v>43</v>
      </c>
    </row>
    <row r="82" spans="5:40" x14ac:dyDescent="0.15">
      <c r="E82" s="55" t="s">
        <v>43</v>
      </c>
      <c r="H82" s="4">
        <f>B48</f>
        <v>0</v>
      </c>
      <c r="I82" s="4">
        <f>C48</f>
        <v>0</v>
      </c>
      <c r="K82" s="3" t="s">
        <v>43</v>
      </c>
      <c r="O82" s="3" t="s">
        <v>43</v>
      </c>
      <c r="R82" s="3" t="s">
        <v>43</v>
      </c>
      <c r="Z82" s="3" t="s">
        <v>43</v>
      </c>
      <c r="AC82" s="3" t="s">
        <v>43</v>
      </c>
      <c r="AF82" s="3" t="s">
        <v>43</v>
      </c>
      <c r="AN82" s="3" t="s">
        <v>43</v>
      </c>
    </row>
    <row r="83" spans="5:40" x14ac:dyDescent="0.15">
      <c r="E83" s="55" t="s">
        <v>43</v>
      </c>
      <c r="H83" s="5"/>
      <c r="K83" s="3" t="s">
        <v>43</v>
      </c>
      <c r="O83" s="3" t="s">
        <v>43</v>
      </c>
      <c r="R83" s="3" t="s">
        <v>43</v>
      </c>
      <c r="Z83" s="3" t="s">
        <v>43</v>
      </c>
      <c r="AC83" s="3" t="s">
        <v>43</v>
      </c>
      <c r="AF83" s="3" t="s">
        <v>43</v>
      </c>
      <c r="AN83" s="3" t="s">
        <v>43</v>
      </c>
    </row>
    <row r="84" spans="5:40" x14ac:dyDescent="0.15">
      <c r="E84" s="55" t="s">
        <v>43</v>
      </c>
      <c r="H84" s="23" t="e">
        <f ca="1">IF(H81&lt;3,MIN(2,SUM(H81:H83)),H81)</f>
        <v>#NAME?</v>
      </c>
      <c r="I84" s="23" t="e">
        <f ca="1">IF(I81&lt;3,MIN(2,SUM(I81:I83)),I81)</f>
        <v>#NAME?</v>
      </c>
      <c r="K84" s="3" t="s">
        <v>43</v>
      </c>
      <c r="O84" s="3" t="s">
        <v>43</v>
      </c>
      <c r="R84" s="3" t="s">
        <v>43</v>
      </c>
      <c r="Z84" s="3" t="s">
        <v>43</v>
      </c>
      <c r="AC84" s="3" t="s">
        <v>43</v>
      </c>
      <c r="AF84" s="3" t="s">
        <v>43</v>
      </c>
      <c r="AN84" s="3" t="s">
        <v>43</v>
      </c>
    </row>
    <row r="85" spans="5:40" x14ac:dyDescent="0.15">
      <c r="E85" s="55" t="s">
        <v>43</v>
      </c>
      <c r="H85" s="5"/>
      <c r="K85" s="3" t="s">
        <v>43</v>
      </c>
      <c r="O85" s="3" t="s">
        <v>43</v>
      </c>
      <c r="R85" s="3" t="s">
        <v>43</v>
      </c>
      <c r="Z85" s="3" t="s">
        <v>43</v>
      </c>
      <c r="AC85" s="3" t="s">
        <v>43</v>
      </c>
      <c r="AF85" s="3" t="s">
        <v>43</v>
      </c>
      <c r="AN85" s="3" t="s">
        <v>43</v>
      </c>
    </row>
    <row r="86" spans="5:40" x14ac:dyDescent="0.15">
      <c r="E86" s="55" t="s">
        <v>43</v>
      </c>
      <c r="H86" s="5"/>
      <c r="K86" s="3" t="s">
        <v>43</v>
      </c>
      <c r="O86" s="3" t="s">
        <v>43</v>
      </c>
      <c r="R86" s="3" t="s">
        <v>43</v>
      </c>
      <c r="Z86" s="3" t="s">
        <v>43</v>
      </c>
      <c r="AC86" s="3" t="s">
        <v>43</v>
      </c>
      <c r="AF86" s="3" t="s">
        <v>43</v>
      </c>
      <c r="AN86" s="3" t="s">
        <v>43</v>
      </c>
    </row>
    <row r="87" spans="5:40" x14ac:dyDescent="0.15">
      <c r="E87" s="55" t="s">
        <v>43</v>
      </c>
      <c r="G87" s="5" t="s">
        <v>95</v>
      </c>
      <c r="H87" s="13" t="e">
        <f ca="1">VLOOKUP($H$73,CombatResult,5+I$73)</f>
        <v>#NAME?</v>
      </c>
      <c r="I87" s="13" t="e">
        <f ca="1">VLOOKUP($H$73,CombatResult,8-I$73)</f>
        <v>#NAME?</v>
      </c>
      <c r="K87" s="3" t="s">
        <v>43</v>
      </c>
      <c r="O87" s="3" t="s">
        <v>43</v>
      </c>
      <c r="R87" s="3" t="s">
        <v>43</v>
      </c>
      <c r="Z87" s="3" t="s">
        <v>43</v>
      </c>
      <c r="AC87" s="3" t="s">
        <v>43</v>
      </c>
      <c r="AF87" s="3" t="s">
        <v>43</v>
      </c>
      <c r="AN87" s="3" t="s">
        <v>43</v>
      </c>
    </row>
    <row r="88" spans="5:40" x14ac:dyDescent="0.15">
      <c r="E88" s="55" t="s">
        <v>43</v>
      </c>
      <c r="H88" s="4"/>
      <c r="I88" s="4"/>
      <c r="K88" s="3" t="s">
        <v>43</v>
      </c>
      <c r="O88" s="3" t="s">
        <v>43</v>
      </c>
      <c r="R88" s="3" t="s">
        <v>43</v>
      </c>
      <c r="Z88" s="3" t="s">
        <v>43</v>
      </c>
      <c r="AC88" s="3" t="s">
        <v>43</v>
      </c>
      <c r="AF88" s="3" t="s">
        <v>43</v>
      </c>
      <c r="AN88" s="3" t="s">
        <v>43</v>
      </c>
    </row>
    <row r="89" spans="5:40" x14ac:dyDescent="0.15">
      <c r="E89" s="55" t="s">
        <v>43</v>
      </c>
      <c r="H89" s="5"/>
      <c r="K89" s="3" t="s">
        <v>43</v>
      </c>
      <c r="O89" s="3" t="s">
        <v>43</v>
      </c>
      <c r="R89" s="3" t="s">
        <v>43</v>
      </c>
      <c r="Z89" s="3" t="s">
        <v>43</v>
      </c>
      <c r="AC89" s="3" t="s">
        <v>43</v>
      </c>
      <c r="AF89" s="3" t="s">
        <v>43</v>
      </c>
      <c r="AN89" s="3" t="s">
        <v>43</v>
      </c>
    </row>
    <row r="90" spans="5:40" x14ac:dyDescent="0.15">
      <c r="E90" s="55" t="s">
        <v>43</v>
      </c>
      <c r="H90" s="23" t="e">
        <f ca="1">IF(B45="N",H87,IF(OR(LEFT(H87,1)="B",LEFT(H87,1)="R"),"H",H87))</f>
        <v>#NAME?</v>
      </c>
      <c r="I90" s="23" t="e">
        <f ca="1">IF(C45="N",I87,IF(OR(LEFT(I87,1)="B",LEFT(I87,1)="R"),"H",I87))</f>
        <v>#NAME?</v>
      </c>
      <c r="K90" s="3" t="s">
        <v>43</v>
      </c>
      <c r="O90" s="3" t="s">
        <v>43</v>
      </c>
      <c r="R90" s="3" t="s">
        <v>43</v>
      </c>
      <c r="Z90" s="3" t="s">
        <v>43</v>
      </c>
      <c r="AC90" s="3" t="s">
        <v>43</v>
      </c>
      <c r="AF90" s="3" t="s">
        <v>43</v>
      </c>
      <c r="AN90" s="3" t="s">
        <v>43</v>
      </c>
    </row>
    <row r="91" spans="5:40" x14ac:dyDescent="0.15">
      <c r="E91" s="55" t="s">
        <v>43</v>
      </c>
      <c r="H91" s="40" t="e">
        <f ca="1">IF(OR(LEFT(H90,1)="F",LEFT(H90,1)="H",C58="Y"),0.5,0)</f>
        <v>#NAME?</v>
      </c>
      <c r="I91" s="40" t="e">
        <f ca="1">IF(OR(LEFT(I90,1)="F",LEFT(I90,1)="H",B58="Y"),0.5,0)</f>
        <v>#NAME?</v>
      </c>
      <c r="K91" s="3" t="s">
        <v>43</v>
      </c>
      <c r="O91" s="3" t="s">
        <v>43</v>
      </c>
      <c r="R91" s="3" t="s">
        <v>43</v>
      </c>
      <c r="Z91" s="3" t="s">
        <v>43</v>
      </c>
      <c r="AC91" s="3" t="s">
        <v>43</v>
      </c>
      <c r="AF91" s="3" t="s">
        <v>43</v>
      </c>
      <c r="AN91" s="3" t="s">
        <v>43</v>
      </c>
    </row>
    <row r="92" spans="5:40" x14ac:dyDescent="0.15">
      <c r="E92" s="55" t="s">
        <v>43</v>
      </c>
      <c r="K92" s="3" t="s">
        <v>43</v>
      </c>
      <c r="O92" s="3" t="s">
        <v>43</v>
      </c>
      <c r="R92" s="3" t="s">
        <v>43</v>
      </c>
      <c r="Z92" s="3" t="s">
        <v>43</v>
      </c>
      <c r="AC92" s="3" t="s">
        <v>43</v>
      </c>
      <c r="AF92" s="3" t="s">
        <v>43</v>
      </c>
      <c r="AN92" s="3" t="s">
        <v>43</v>
      </c>
    </row>
    <row r="93" spans="5:40" x14ac:dyDescent="0.15">
      <c r="E93" s="55" t="s">
        <v>43</v>
      </c>
      <c r="K93" s="3" t="s">
        <v>43</v>
      </c>
      <c r="O93" s="3" t="s">
        <v>43</v>
      </c>
      <c r="R93" s="3" t="s">
        <v>43</v>
      </c>
      <c r="Z93" s="3" t="s">
        <v>43</v>
      </c>
      <c r="AC93" s="3" t="s">
        <v>43</v>
      </c>
      <c r="AF93" s="3" t="s">
        <v>43</v>
      </c>
      <c r="AN93" s="3" t="s">
        <v>43</v>
      </c>
    </row>
    <row r="94" spans="5:40" x14ac:dyDescent="0.15">
      <c r="E94" s="55" t="s">
        <v>43</v>
      </c>
      <c r="K94" s="3" t="s">
        <v>43</v>
      </c>
      <c r="O94" s="3" t="s">
        <v>43</v>
      </c>
      <c r="R94" s="3" t="s">
        <v>43</v>
      </c>
      <c r="Z94" s="3" t="s">
        <v>43</v>
      </c>
      <c r="AC94" s="3" t="s">
        <v>43</v>
      </c>
      <c r="AF94" s="3" t="s">
        <v>43</v>
      </c>
      <c r="AN94" s="3" t="s">
        <v>43</v>
      </c>
    </row>
    <row r="95" spans="5:40" x14ac:dyDescent="0.15">
      <c r="E95" s="55" t="s">
        <v>43</v>
      </c>
      <c r="K95" s="3" t="s">
        <v>43</v>
      </c>
      <c r="O95" s="3" t="s">
        <v>43</v>
      </c>
      <c r="R95" s="3" t="s">
        <v>43</v>
      </c>
      <c r="Z95" s="3" t="s">
        <v>43</v>
      </c>
      <c r="AC95" s="3" t="s">
        <v>43</v>
      </c>
      <c r="AF95" s="3" t="s">
        <v>43</v>
      </c>
      <c r="AN95" s="3" t="s">
        <v>43</v>
      </c>
    </row>
    <row r="96" spans="5:40" x14ac:dyDescent="0.15">
      <c r="E96" s="55" t="s">
        <v>43</v>
      </c>
      <c r="K96" s="3" t="s">
        <v>43</v>
      </c>
      <c r="O96" s="3" t="s">
        <v>43</v>
      </c>
      <c r="R96" s="3" t="s">
        <v>43</v>
      </c>
      <c r="Z96" s="3" t="s">
        <v>43</v>
      </c>
      <c r="AC96" s="3" t="s">
        <v>43</v>
      </c>
      <c r="AF96" s="3" t="s">
        <v>43</v>
      </c>
      <c r="AN96" s="3" t="s">
        <v>43</v>
      </c>
    </row>
    <row r="97" spans="5:40" x14ac:dyDescent="0.15">
      <c r="E97" s="55" t="s">
        <v>43</v>
      </c>
      <c r="K97" s="3" t="s">
        <v>43</v>
      </c>
      <c r="O97" s="3" t="s">
        <v>43</v>
      </c>
      <c r="R97" s="3" t="s">
        <v>43</v>
      </c>
      <c r="Z97" s="3" t="s">
        <v>43</v>
      </c>
      <c r="AC97" s="3" t="s">
        <v>43</v>
      </c>
      <c r="AF97" s="3" t="s">
        <v>43</v>
      </c>
      <c r="AN97" s="3" t="s">
        <v>43</v>
      </c>
    </row>
    <row r="98" spans="5:40" x14ac:dyDescent="0.15">
      <c r="E98" s="55" t="s">
        <v>43</v>
      </c>
      <c r="K98" s="3" t="s">
        <v>43</v>
      </c>
      <c r="O98" s="3" t="s">
        <v>43</v>
      </c>
      <c r="R98" s="3" t="s">
        <v>43</v>
      </c>
      <c r="Z98" s="3" t="s">
        <v>43</v>
      </c>
      <c r="AC98" s="3" t="s">
        <v>43</v>
      </c>
      <c r="AF98" s="3" t="s">
        <v>43</v>
      </c>
      <c r="AN98" s="3" t="s">
        <v>43</v>
      </c>
    </row>
    <row r="99" spans="5:40" x14ac:dyDescent="0.15">
      <c r="E99" s="55" t="s">
        <v>43</v>
      </c>
      <c r="K99" s="3" t="s">
        <v>43</v>
      </c>
      <c r="O99" s="3" t="s">
        <v>43</v>
      </c>
      <c r="R99" s="3" t="s">
        <v>43</v>
      </c>
      <c r="Z99" s="3" t="s">
        <v>43</v>
      </c>
      <c r="AC99" s="3" t="s">
        <v>43</v>
      </c>
      <c r="AF99" s="3" t="s">
        <v>43</v>
      </c>
      <c r="AN99" s="3" t="s">
        <v>43</v>
      </c>
    </row>
    <row r="100" spans="5:40" x14ac:dyDescent="0.15">
      <c r="E100" s="55" t="s">
        <v>43</v>
      </c>
      <c r="K100" s="3" t="s">
        <v>43</v>
      </c>
      <c r="O100" s="3" t="s">
        <v>43</v>
      </c>
      <c r="R100" s="3" t="s">
        <v>43</v>
      </c>
      <c r="Z100" s="3" t="s">
        <v>43</v>
      </c>
      <c r="AC100" s="3" t="s">
        <v>43</v>
      </c>
      <c r="AF100" s="3" t="s">
        <v>43</v>
      </c>
      <c r="AN100" s="3" t="s">
        <v>43</v>
      </c>
    </row>
  </sheetData>
  <mergeCells count="7">
    <mergeCell ref="AD1:AE1"/>
    <mergeCell ref="AG1:AM1"/>
    <mergeCell ref="AG10:AM10"/>
    <mergeCell ref="L1:N1"/>
    <mergeCell ref="P1:Q1"/>
    <mergeCell ref="S1:Y1"/>
    <mergeCell ref="AA1:AB1"/>
  </mergeCells>
  <phoneticPr fontId="3" type="noConversion"/>
  <pageMargins left="0.75" right="0.75" top="1" bottom="1" header="0.5" footer="0.5"/>
  <pageSetup paperSize="9" orientation="portrait" verticalDpi="300" r:id="rId1"/>
  <headerFooter alignWithMargins="0"/>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No Force Selected" error="Please select one of the forces from the available forces on the second tab." promptTitle="First Force" prompt="Select  a Force from the list of available forces (second tab)." xr:uid="{00000000-0002-0000-0B00-000000000000}">
          <x14:formula1>
            <xm:f>'Units (Old)'!$B$2:$F$2</xm:f>
          </x14:formula1>
          <xm:sqref>B1:C1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0"/>
  <sheetViews>
    <sheetView workbookViewId="0">
      <selection activeCell="E18" sqref="E18"/>
    </sheetView>
  </sheetViews>
  <sheetFormatPr baseColWidth="10" defaultColWidth="9.1640625" defaultRowHeight="13" x14ac:dyDescent="0.15"/>
  <cols>
    <col min="1" max="1" width="44" style="6" bestFit="1" customWidth="1"/>
    <col min="2" max="11" width="10.5" style="5" customWidth="1"/>
    <col min="12" max="16384" width="9.1640625" style="1"/>
  </cols>
  <sheetData>
    <row r="1" spans="1:11" x14ac:dyDescent="0.15">
      <c r="B1" s="5">
        <v>1</v>
      </c>
      <c r="C1" s="5">
        <v>2</v>
      </c>
      <c r="D1" s="5">
        <v>3</v>
      </c>
      <c r="E1" s="5">
        <v>4</v>
      </c>
      <c r="F1" s="5">
        <v>5</v>
      </c>
    </row>
    <row r="2" spans="1:11" s="39" customFormat="1" ht="28" x14ac:dyDescent="0.15">
      <c r="A2" s="52" t="s">
        <v>15</v>
      </c>
      <c r="B2" s="53" t="s">
        <v>3</v>
      </c>
      <c r="C2" s="53" t="s">
        <v>30</v>
      </c>
      <c r="D2" s="53" t="s">
        <v>4</v>
      </c>
      <c r="E2" s="53" t="s">
        <v>5</v>
      </c>
      <c r="F2" s="53" t="s">
        <v>141</v>
      </c>
      <c r="G2" s="53"/>
      <c r="H2" s="53"/>
      <c r="I2" s="53"/>
      <c r="J2" s="53"/>
      <c r="K2" s="53"/>
    </row>
    <row r="3" spans="1:11" x14ac:dyDescent="0.15">
      <c r="A3" s="6" t="s">
        <v>6</v>
      </c>
      <c r="B3" s="5">
        <v>100</v>
      </c>
      <c r="C3" s="5">
        <v>100</v>
      </c>
      <c r="D3" s="5">
        <v>20</v>
      </c>
      <c r="E3" s="5">
        <v>20</v>
      </c>
      <c r="F3" s="5">
        <v>50</v>
      </c>
    </row>
    <row r="4" spans="1:11" x14ac:dyDescent="0.15">
      <c r="A4" s="56" t="s">
        <v>143</v>
      </c>
      <c r="B4" s="5">
        <v>1</v>
      </c>
      <c r="C4" s="5">
        <v>1</v>
      </c>
      <c r="D4" s="5">
        <v>2</v>
      </c>
      <c r="E4" s="5">
        <v>2</v>
      </c>
      <c r="F4" s="5">
        <v>1</v>
      </c>
    </row>
    <row r="5" spans="1:11" x14ac:dyDescent="0.15">
      <c r="A5" s="6" t="s">
        <v>12</v>
      </c>
      <c r="B5" s="5">
        <v>10</v>
      </c>
      <c r="C5" s="5">
        <v>10</v>
      </c>
      <c r="D5" s="5">
        <v>2</v>
      </c>
      <c r="E5" s="5">
        <v>2</v>
      </c>
      <c r="F5" s="5">
        <v>5</v>
      </c>
    </row>
    <row r="6" spans="1:11" x14ac:dyDescent="0.15">
      <c r="A6" s="6" t="s">
        <v>13</v>
      </c>
      <c r="B6" s="5">
        <v>3</v>
      </c>
      <c r="C6" s="5">
        <v>3</v>
      </c>
      <c r="D6" s="5">
        <v>2</v>
      </c>
      <c r="E6" s="5">
        <v>2</v>
      </c>
      <c r="F6" s="5">
        <v>2</v>
      </c>
    </row>
    <row r="7" spans="1:11" x14ac:dyDescent="0.15">
      <c r="A7" s="6" t="s">
        <v>11</v>
      </c>
      <c r="B7" s="5">
        <v>2</v>
      </c>
      <c r="C7" s="5">
        <v>0</v>
      </c>
      <c r="D7" s="5">
        <v>0</v>
      </c>
      <c r="E7" s="5">
        <v>0</v>
      </c>
      <c r="F7" s="5">
        <v>0</v>
      </c>
    </row>
    <row r="8" spans="1:11" x14ac:dyDescent="0.15">
      <c r="A8" s="6" t="s">
        <v>7</v>
      </c>
      <c r="B8" s="5">
        <v>7</v>
      </c>
      <c r="C8" s="5">
        <v>5</v>
      </c>
      <c r="D8" s="5">
        <v>5</v>
      </c>
      <c r="E8" s="5">
        <v>5</v>
      </c>
      <c r="F8" s="5">
        <v>3</v>
      </c>
    </row>
    <row r="9" spans="1:11" x14ac:dyDescent="0.15">
      <c r="A9" s="6" t="s">
        <v>8</v>
      </c>
      <c r="B9" s="5">
        <v>16</v>
      </c>
      <c r="C9" s="5">
        <v>14</v>
      </c>
      <c r="D9" s="5">
        <v>14</v>
      </c>
      <c r="E9" s="5">
        <v>14</v>
      </c>
      <c r="F9" s="5">
        <v>14</v>
      </c>
    </row>
    <row r="10" spans="1:11" x14ac:dyDescent="0.15">
      <c r="A10" s="6" t="s">
        <v>9</v>
      </c>
      <c r="B10" s="5">
        <v>12</v>
      </c>
      <c r="C10" s="5">
        <v>14</v>
      </c>
      <c r="D10" s="5">
        <v>18</v>
      </c>
      <c r="E10" s="5">
        <v>18</v>
      </c>
      <c r="F10" s="5">
        <v>12</v>
      </c>
    </row>
    <row r="11" spans="1:11" x14ac:dyDescent="0.15">
      <c r="A11" s="6" t="s">
        <v>10</v>
      </c>
      <c r="B11" s="5">
        <v>18</v>
      </c>
      <c r="C11" s="5">
        <v>16</v>
      </c>
      <c r="D11" s="5">
        <v>16</v>
      </c>
      <c r="E11" s="5">
        <v>16</v>
      </c>
      <c r="F11" s="5">
        <v>14</v>
      </c>
    </row>
    <row r="12" spans="1:11" x14ac:dyDescent="0.15">
      <c r="A12" s="6" t="s">
        <v>16</v>
      </c>
      <c r="B12" s="5">
        <v>0</v>
      </c>
      <c r="C12" s="5">
        <v>5</v>
      </c>
      <c r="D12" s="5">
        <v>3</v>
      </c>
      <c r="E12" s="5">
        <v>3</v>
      </c>
      <c r="F12" s="5">
        <v>2</v>
      </c>
    </row>
    <row r="13" spans="1:11" x14ac:dyDescent="0.15">
      <c r="A13" s="6" t="s">
        <v>17</v>
      </c>
      <c r="B13" s="5">
        <v>0</v>
      </c>
      <c r="C13" s="5">
        <v>2</v>
      </c>
      <c r="D13" s="5">
        <v>2</v>
      </c>
      <c r="E13" s="5">
        <v>2</v>
      </c>
      <c r="F13" s="5">
        <v>3</v>
      </c>
    </row>
    <row r="14" spans="1:11" x14ac:dyDescent="0.15">
      <c r="A14" s="6" t="s">
        <v>18</v>
      </c>
      <c r="B14" s="5">
        <v>6</v>
      </c>
      <c r="C14" s="5">
        <v>20</v>
      </c>
      <c r="D14" s="5">
        <v>20</v>
      </c>
      <c r="E14" s="5">
        <v>20</v>
      </c>
      <c r="F14" s="5">
        <v>10</v>
      </c>
    </row>
    <row r="15" spans="1:11" x14ac:dyDescent="0.15">
      <c r="A15" s="6" t="s">
        <v>19</v>
      </c>
      <c r="B15" s="5">
        <v>0</v>
      </c>
      <c r="C15" s="5">
        <v>20</v>
      </c>
      <c r="D15" s="5">
        <v>20</v>
      </c>
      <c r="E15" s="5">
        <v>20</v>
      </c>
      <c r="F15" s="5">
        <v>5</v>
      </c>
    </row>
    <row r="16" spans="1:11" x14ac:dyDescent="0.15">
      <c r="A16" s="6" t="s">
        <v>20</v>
      </c>
      <c r="B16" s="5">
        <v>2</v>
      </c>
      <c r="C16" s="5">
        <v>5</v>
      </c>
      <c r="D16" s="5">
        <v>12</v>
      </c>
      <c r="E16" s="5">
        <v>12</v>
      </c>
      <c r="F16" s="5">
        <v>2</v>
      </c>
    </row>
    <row r="17" spans="1:6" x14ac:dyDescent="0.15">
      <c r="A17" s="6" t="s">
        <v>25</v>
      </c>
      <c r="B17" s="5">
        <v>10</v>
      </c>
      <c r="C17" s="5">
        <v>10</v>
      </c>
      <c r="D17" s="5">
        <v>5</v>
      </c>
      <c r="E17" s="5">
        <v>5</v>
      </c>
      <c r="F17" s="5">
        <v>10</v>
      </c>
    </row>
    <row r="18" spans="1:6" x14ac:dyDescent="0.15">
      <c r="A18" s="6" t="s">
        <v>26</v>
      </c>
      <c r="B18" s="5">
        <v>0</v>
      </c>
      <c r="C18" s="5">
        <v>0</v>
      </c>
      <c r="D18" s="5">
        <v>0</v>
      </c>
      <c r="E18" s="5">
        <v>0</v>
      </c>
      <c r="F18" s="5">
        <v>0</v>
      </c>
    </row>
    <row r="19" spans="1:6" x14ac:dyDescent="0.15">
      <c r="A19" s="6" t="s">
        <v>27</v>
      </c>
      <c r="B19" s="5">
        <v>16</v>
      </c>
      <c r="C19" s="5">
        <v>16</v>
      </c>
      <c r="D19" s="5">
        <v>15</v>
      </c>
      <c r="E19" s="5">
        <v>15</v>
      </c>
      <c r="F19" s="5">
        <v>17</v>
      </c>
    </row>
    <row r="20" spans="1:6" x14ac:dyDescent="0.15">
      <c r="A20" s="6" t="s">
        <v>28</v>
      </c>
    </row>
    <row r="21" spans="1:6" x14ac:dyDescent="0.15">
      <c r="A21" s="6" t="s">
        <v>40</v>
      </c>
    </row>
    <row r="22" spans="1:6" x14ac:dyDescent="0.15">
      <c r="A22" s="6" t="s">
        <v>41</v>
      </c>
    </row>
    <row r="24" spans="1:6" x14ac:dyDescent="0.15">
      <c r="A24" s="6" t="s">
        <v>44</v>
      </c>
      <c r="E24" s="5">
        <v>50</v>
      </c>
    </row>
    <row r="25" spans="1:6" x14ac:dyDescent="0.15">
      <c r="A25" s="6" t="s">
        <v>45</v>
      </c>
      <c r="C25" s="5">
        <v>100</v>
      </c>
      <c r="F25" s="5">
        <v>50</v>
      </c>
    </row>
    <row r="26" spans="1:6" x14ac:dyDescent="0.15">
      <c r="A26" s="6" t="s">
        <v>46</v>
      </c>
      <c r="C26" s="5">
        <v>100</v>
      </c>
    </row>
    <row r="27" spans="1:6" x14ac:dyDescent="0.15">
      <c r="A27" s="6" t="s">
        <v>47</v>
      </c>
      <c r="D27" s="5">
        <v>100</v>
      </c>
      <c r="E27" s="5">
        <v>100</v>
      </c>
      <c r="F27" s="5">
        <v>50</v>
      </c>
    </row>
    <row r="28" spans="1:6" x14ac:dyDescent="0.15">
      <c r="A28" s="6" t="s">
        <v>48</v>
      </c>
      <c r="B28" s="5">
        <v>1</v>
      </c>
    </row>
    <row r="29" spans="1:6" x14ac:dyDescent="0.15">
      <c r="A29" s="6" t="s">
        <v>49</v>
      </c>
      <c r="B29" s="5">
        <v>1</v>
      </c>
    </row>
    <row r="30" spans="1:6" x14ac:dyDescent="0.15">
      <c r="A30" s="6" t="s">
        <v>50</v>
      </c>
      <c r="E30" s="5">
        <v>100</v>
      </c>
    </row>
  </sheetData>
  <phoneticPr fontId="3" type="noConversion"/>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9"/>
  <sheetViews>
    <sheetView showGridLines="0" zoomScale="85" zoomScaleNormal="85" workbookViewId="0">
      <pane xSplit="4" ySplit="2" topLeftCell="E3" activePane="bottomRight" state="frozen"/>
      <selection pane="topRight" activeCell="E1" sqref="E1"/>
      <selection pane="bottomLeft" activeCell="A3" sqref="A3"/>
      <selection pane="bottomRight" activeCell="J44" sqref="J44:K44"/>
    </sheetView>
  </sheetViews>
  <sheetFormatPr baseColWidth="10" defaultColWidth="8.83203125" defaultRowHeight="13" x14ac:dyDescent="0.15"/>
  <cols>
    <col min="1" max="1" width="3.1640625" hidden="1" customWidth="1"/>
    <col min="2" max="2" width="22.1640625" hidden="1" customWidth="1"/>
    <col min="3" max="3" width="3.1640625" hidden="1" customWidth="1"/>
    <col min="4" max="4" width="49.6640625" bestFit="1" customWidth="1"/>
    <col min="5" max="46" width="17.5" customWidth="1"/>
    <col min="48" max="48" width="43.5" customWidth="1"/>
  </cols>
  <sheetData>
    <row r="1" spans="4:46" ht="14" thickBot="1" x14ac:dyDescent="0.2">
      <c r="Y1" t="s">
        <v>331</v>
      </c>
    </row>
    <row r="2" spans="4:46" ht="107" thickTop="1" thickBot="1" x14ac:dyDescent="0.2">
      <c r="D2" s="174" t="s">
        <v>148</v>
      </c>
      <c r="E2" s="126" t="s">
        <v>259</v>
      </c>
      <c r="F2" s="127" t="s">
        <v>318</v>
      </c>
      <c r="G2" s="127" t="s">
        <v>244</v>
      </c>
      <c r="H2" s="127" t="s">
        <v>249</v>
      </c>
      <c r="I2" s="128" t="s">
        <v>254</v>
      </c>
      <c r="J2" s="127" t="s">
        <v>401</v>
      </c>
      <c r="K2" s="127" t="s">
        <v>405</v>
      </c>
      <c r="L2" s="126" t="s">
        <v>286</v>
      </c>
      <c r="M2" s="127" t="s">
        <v>287</v>
      </c>
      <c r="N2" s="127" t="s">
        <v>288</v>
      </c>
      <c r="O2" s="255" t="s">
        <v>349</v>
      </c>
      <c r="P2" s="256" t="s">
        <v>350</v>
      </c>
      <c r="Q2" s="256" t="s">
        <v>363</v>
      </c>
      <c r="R2" s="257" t="s">
        <v>322</v>
      </c>
      <c r="S2" s="258" t="s">
        <v>326</v>
      </c>
      <c r="T2" s="258" t="s">
        <v>330</v>
      </c>
      <c r="U2" s="258" t="s">
        <v>332</v>
      </c>
      <c r="V2" s="258" t="s">
        <v>353</v>
      </c>
      <c r="W2" s="258" t="s">
        <v>333</v>
      </c>
      <c r="X2" s="258" t="s">
        <v>428</v>
      </c>
      <c r="Y2" s="258" t="s">
        <v>334</v>
      </c>
      <c r="Z2" s="258" t="s">
        <v>352</v>
      </c>
      <c r="AA2" s="259" t="s">
        <v>335</v>
      </c>
      <c r="AB2" s="126" t="s">
        <v>408</v>
      </c>
      <c r="AC2" s="189" t="s">
        <v>399</v>
      </c>
      <c r="AD2" s="188" t="s">
        <v>261</v>
      </c>
      <c r="AE2" s="228" t="s">
        <v>267</v>
      </c>
      <c r="AF2" s="228" t="s">
        <v>270</v>
      </c>
      <c r="AG2" s="228" t="s">
        <v>272</v>
      </c>
      <c r="AH2" s="228" t="s">
        <v>282</v>
      </c>
      <c r="AI2" s="189" t="s">
        <v>281</v>
      </c>
      <c r="AJ2" s="103" t="s">
        <v>227</v>
      </c>
      <c r="AK2" s="103" t="s">
        <v>144</v>
      </c>
      <c r="AL2" s="103" t="s">
        <v>145</v>
      </c>
      <c r="AM2" s="103" t="s">
        <v>195</v>
      </c>
      <c r="AN2" s="103" t="s">
        <v>146</v>
      </c>
      <c r="AO2" s="103" t="s">
        <v>147</v>
      </c>
      <c r="AP2" s="103" t="s">
        <v>150</v>
      </c>
      <c r="AQ2" s="103" t="s">
        <v>220</v>
      </c>
      <c r="AR2" s="103" t="s">
        <v>221</v>
      </c>
      <c r="AS2" s="103" t="s">
        <v>222</v>
      </c>
      <c r="AT2" s="104" t="s">
        <v>223</v>
      </c>
    </row>
    <row r="3" spans="4:46" ht="20.25" customHeight="1" x14ac:dyDescent="0.15">
      <c r="D3" s="175" t="s">
        <v>235</v>
      </c>
      <c r="E3" s="129">
        <v>7</v>
      </c>
      <c r="F3" s="66">
        <v>7</v>
      </c>
      <c r="G3" s="66">
        <v>8</v>
      </c>
      <c r="H3" s="66">
        <v>11</v>
      </c>
      <c r="I3" s="130">
        <v>13</v>
      </c>
      <c r="J3" s="66">
        <v>10</v>
      </c>
      <c r="K3" s="66">
        <v>11</v>
      </c>
      <c r="L3" s="129">
        <v>7</v>
      </c>
      <c r="M3" s="66">
        <v>7</v>
      </c>
      <c r="N3" s="66">
        <v>11</v>
      </c>
      <c r="O3" s="250">
        <v>7</v>
      </c>
      <c r="P3" s="251">
        <v>7</v>
      </c>
      <c r="Q3" s="251">
        <v>7</v>
      </c>
      <c r="R3" s="129">
        <v>7</v>
      </c>
      <c r="S3" s="66">
        <v>8</v>
      </c>
      <c r="T3" s="66">
        <v>8</v>
      </c>
      <c r="U3" s="66">
        <v>13</v>
      </c>
      <c r="V3" s="66">
        <v>13</v>
      </c>
      <c r="W3" s="66">
        <v>14</v>
      </c>
      <c r="X3" s="66">
        <v>14</v>
      </c>
      <c r="Y3" s="66">
        <v>10</v>
      </c>
      <c r="Z3" s="66">
        <v>8</v>
      </c>
      <c r="AA3" s="130">
        <v>7</v>
      </c>
      <c r="AB3" s="129">
        <v>11</v>
      </c>
      <c r="AC3" s="191">
        <v>14</v>
      </c>
      <c r="AD3" s="190">
        <v>6</v>
      </c>
      <c r="AE3" s="66">
        <v>6</v>
      </c>
      <c r="AF3" s="66">
        <v>6</v>
      </c>
      <c r="AG3" s="66">
        <v>11</v>
      </c>
      <c r="AH3" s="66">
        <v>11</v>
      </c>
      <c r="AI3" s="191">
        <v>15</v>
      </c>
      <c r="AJ3" s="66"/>
      <c r="AK3" s="66">
        <v>7</v>
      </c>
      <c r="AL3" s="66">
        <v>5</v>
      </c>
      <c r="AM3" s="66">
        <v>10</v>
      </c>
      <c r="AN3" s="66">
        <v>5</v>
      </c>
      <c r="AO3" s="66">
        <v>5</v>
      </c>
      <c r="AP3" s="66">
        <v>3</v>
      </c>
      <c r="AQ3" s="66">
        <v>6</v>
      </c>
      <c r="AR3" s="66"/>
      <c r="AS3" s="66"/>
      <c r="AT3" s="67"/>
    </row>
    <row r="4" spans="4:46" ht="20.25" customHeight="1" x14ac:dyDescent="0.15">
      <c r="D4" s="176" t="s">
        <v>236</v>
      </c>
      <c r="E4" s="131">
        <v>12</v>
      </c>
      <c r="F4" s="69">
        <v>12</v>
      </c>
      <c r="G4" s="69">
        <v>11</v>
      </c>
      <c r="H4" s="69">
        <v>13</v>
      </c>
      <c r="I4" s="132">
        <v>12</v>
      </c>
      <c r="J4" s="69">
        <v>16</v>
      </c>
      <c r="K4" s="69">
        <v>13</v>
      </c>
      <c r="L4" s="131">
        <v>12</v>
      </c>
      <c r="M4" s="69">
        <v>12</v>
      </c>
      <c r="N4" s="69">
        <v>13</v>
      </c>
      <c r="O4" s="252">
        <v>12</v>
      </c>
      <c r="P4" s="253">
        <v>12</v>
      </c>
      <c r="Q4" s="253">
        <v>12</v>
      </c>
      <c r="R4" s="131">
        <v>16</v>
      </c>
      <c r="S4" s="69">
        <v>10</v>
      </c>
      <c r="T4" s="69">
        <v>10</v>
      </c>
      <c r="U4" s="69">
        <v>12</v>
      </c>
      <c r="V4" s="69">
        <v>12</v>
      </c>
      <c r="W4" s="69">
        <v>20</v>
      </c>
      <c r="X4" s="69">
        <v>20</v>
      </c>
      <c r="Y4" s="69">
        <v>11</v>
      </c>
      <c r="Z4" s="69">
        <v>5</v>
      </c>
      <c r="AA4" s="132">
        <v>15</v>
      </c>
      <c r="AB4" s="131">
        <v>12</v>
      </c>
      <c r="AC4" s="193">
        <v>20</v>
      </c>
      <c r="AD4" s="192">
        <v>11</v>
      </c>
      <c r="AE4" s="69">
        <v>11</v>
      </c>
      <c r="AF4" s="69">
        <v>14</v>
      </c>
      <c r="AG4" s="69">
        <v>19</v>
      </c>
      <c r="AH4" s="69">
        <v>19</v>
      </c>
      <c r="AI4" s="193">
        <v>19</v>
      </c>
      <c r="AJ4" s="69"/>
      <c r="AK4" s="69">
        <v>16</v>
      </c>
      <c r="AL4" s="69">
        <v>14</v>
      </c>
      <c r="AM4" s="69">
        <v>13</v>
      </c>
      <c r="AN4" s="69">
        <v>14</v>
      </c>
      <c r="AO4" s="69">
        <v>14</v>
      </c>
      <c r="AP4" s="69">
        <v>14</v>
      </c>
      <c r="AQ4" s="69">
        <v>11</v>
      </c>
      <c r="AR4" s="69"/>
      <c r="AS4" s="69"/>
      <c r="AT4" s="70"/>
    </row>
    <row r="5" spans="4:46" ht="20.25" customHeight="1" x14ac:dyDescent="0.15">
      <c r="D5" s="176" t="s">
        <v>237</v>
      </c>
      <c r="E5" s="131">
        <v>14</v>
      </c>
      <c r="F5" s="69">
        <v>14</v>
      </c>
      <c r="G5" s="69">
        <v>12</v>
      </c>
      <c r="H5" s="69">
        <v>14</v>
      </c>
      <c r="I5" s="132">
        <v>16</v>
      </c>
      <c r="J5" s="69">
        <v>22</v>
      </c>
      <c r="K5" s="69">
        <v>14</v>
      </c>
      <c r="L5" s="131">
        <v>14</v>
      </c>
      <c r="M5" s="69">
        <v>14</v>
      </c>
      <c r="N5" s="69">
        <v>14</v>
      </c>
      <c r="O5" s="252">
        <v>14</v>
      </c>
      <c r="P5" s="253">
        <v>14</v>
      </c>
      <c r="Q5" s="253">
        <v>14</v>
      </c>
      <c r="R5" s="131">
        <v>14</v>
      </c>
      <c r="S5" s="69">
        <v>11</v>
      </c>
      <c r="T5" s="69">
        <v>11</v>
      </c>
      <c r="U5" s="69">
        <v>16</v>
      </c>
      <c r="V5" s="69">
        <v>16</v>
      </c>
      <c r="W5" s="69">
        <v>15</v>
      </c>
      <c r="X5" s="69">
        <v>15</v>
      </c>
      <c r="Y5" s="69">
        <v>12</v>
      </c>
      <c r="Z5" s="69">
        <v>9</v>
      </c>
      <c r="AA5" s="132">
        <v>11</v>
      </c>
      <c r="AB5" s="131">
        <v>10</v>
      </c>
      <c r="AC5" s="193">
        <v>16</v>
      </c>
      <c r="AD5" s="192">
        <v>12</v>
      </c>
      <c r="AE5" s="69">
        <v>12</v>
      </c>
      <c r="AF5" s="69">
        <v>13</v>
      </c>
      <c r="AG5" s="69">
        <v>17</v>
      </c>
      <c r="AH5" s="69">
        <v>17</v>
      </c>
      <c r="AI5" s="193">
        <v>12</v>
      </c>
      <c r="AJ5" s="69"/>
      <c r="AK5" s="69">
        <v>12</v>
      </c>
      <c r="AL5" s="69">
        <v>14</v>
      </c>
      <c r="AM5" s="69">
        <v>17</v>
      </c>
      <c r="AN5" s="69">
        <v>18</v>
      </c>
      <c r="AO5" s="69">
        <v>18</v>
      </c>
      <c r="AP5" s="69">
        <v>12</v>
      </c>
      <c r="AQ5" s="69">
        <v>11</v>
      </c>
      <c r="AR5" s="69"/>
      <c r="AS5" s="69"/>
      <c r="AT5" s="70"/>
    </row>
    <row r="6" spans="4:46" ht="20.25" customHeight="1" x14ac:dyDescent="0.15">
      <c r="D6" s="176" t="s">
        <v>238</v>
      </c>
      <c r="E6" s="131">
        <v>14</v>
      </c>
      <c r="F6" s="69">
        <v>14</v>
      </c>
      <c r="G6" s="69">
        <v>13</v>
      </c>
      <c r="H6" s="69">
        <v>16</v>
      </c>
      <c r="I6" s="132">
        <v>17</v>
      </c>
      <c r="J6" s="69">
        <v>17</v>
      </c>
      <c r="K6" s="69">
        <v>16</v>
      </c>
      <c r="L6" s="131">
        <v>14</v>
      </c>
      <c r="M6" s="69">
        <v>14</v>
      </c>
      <c r="N6" s="69">
        <v>16</v>
      </c>
      <c r="O6" s="252">
        <v>14</v>
      </c>
      <c r="P6" s="253">
        <v>14</v>
      </c>
      <c r="Q6" s="253">
        <v>14</v>
      </c>
      <c r="R6" s="131">
        <v>16</v>
      </c>
      <c r="S6" s="69">
        <v>8</v>
      </c>
      <c r="T6" s="69">
        <v>8</v>
      </c>
      <c r="U6" s="69">
        <v>17</v>
      </c>
      <c r="V6" s="69">
        <v>17</v>
      </c>
      <c r="W6" s="69">
        <v>16</v>
      </c>
      <c r="X6" s="69">
        <v>16</v>
      </c>
      <c r="Y6" s="69">
        <v>14</v>
      </c>
      <c r="Z6" s="69">
        <v>6</v>
      </c>
      <c r="AA6" s="132">
        <v>14</v>
      </c>
      <c r="AB6" s="131">
        <v>15</v>
      </c>
      <c r="AC6" s="193">
        <v>17</v>
      </c>
      <c r="AD6" s="192">
        <v>13</v>
      </c>
      <c r="AE6" s="69">
        <v>13</v>
      </c>
      <c r="AF6" s="69">
        <v>14</v>
      </c>
      <c r="AG6" s="69">
        <v>16</v>
      </c>
      <c r="AH6" s="69">
        <v>16</v>
      </c>
      <c r="AI6" s="193">
        <v>15</v>
      </c>
      <c r="AJ6" s="69"/>
      <c r="AK6" s="69">
        <v>18</v>
      </c>
      <c r="AL6" s="69">
        <v>16</v>
      </c>
      <c r="AM6" s="69">
        <v>18</v>
      </c>
      <c r="AN6" s="69">
        <v>16</v>
      </c>
      <c r="AO6" s="69">
        <v>16</v>
      </c>
      <c r="AP6" s="69">
        <v>14</v>
      </c>
      <c r="AQ6" s="69">
        <v>16</v>
      </c>
      <c r="AR6" s="69"/>
      <c r="AS6" s="69"/>
      <c r="AT6" s="70"/>
    </row>
    <row r="7" spans="4:46" ht="20.25" customHeight="1" x14ac:dyDescent="0.15">
      <c r="D7" s="176" t="s">
        <v>239</v>
      </c>
      <c r="E7" s="131" t="s">
        <v>57</v>
      </c>
      <c r="F7" s="69" t="s">
        <v>57</v>
      </c>
      <c r="G7" s="69" t="s">
        <v>57</v>
      </c>
      <c r="H7" s="69" t="s">
        <v>57</v>
      </c>
      <c r="I7" s="132" t="s">
        <v>57</v>
      </c>
      <c r="J7" s="69" t="s">
        <v>57</v>
      </c>
      <c r="K7" s="69" t="s">
        <v>57</v>
      </c>
      <c r="L7" s="131" t="s">
        <v>57</v>
      </c>
      <c r="M7" s="69" t="s">
        <v>57</v>
      </c>
      <c r="N7" s="69" t="s">
        <v>57</v>
      </c>
      <c r="O7" s="131" t="s">
        <v>57</v>
      </c>
      <c r="P7" s="69" t="s">
        <v>57</v>
      </c>
      <c r="Q7" s="69" t="s">
        <v>57</v>
      </c>
      <c r="R7" s="131" t="s">
        <v>57</v>
      </c>
      <c r="S7" s="69" t="s">
        <v>57</v>
      </c>
      <c r="T7" s="69" t="s">
        <v>57</v>
      </c>
      <c r="U7" s="69" t="s">
        <v>57</v>
      </c>
      <c r="V7" s="69" t="s">
        <v>57</v>
      </c>
      <c r="W7" s="69" t="s">
        <v>57</v>
      </c>
      <c r="X7" s="69" t="s">
        <v>57</v>
      </c>
      <c r="Y7" s="69" t="s">
        <v>57</v>
      </c>
      <c r="Z7" s="69" t="s">
        <v>57</v>
      </c>
      <c r="AA7" s="132" t="s">
        <v>152</v>
      </c>
      <c r="AB7" s="131" t="s">
        <v>57</v>
      </c>
      <c r="AC7" s="193" t="s">
        <v>57</v>
      </c>
      <c r="AD7" s="192" t="s">
        <v>57</v>
      </c>
      <c r="AE7" s="69" t="s">
        <v>57</v>
      </c>
      <c r="AF7" s="69" t="s">
        <v>57</v>
      </c>
      <c r="AG7" s="69" t="s">
        <v>57</v>
      </c>
      <c r="AH7" s="69" t="s">
        <v>57</v>
      </c>
      <c r="AI7" s="193" t="s">
        <v>57</v>
      </c>
      <c r="AJ7" s="69"/>
      <c r="AK7" s="69" t="s">
        <v>152</v>
      </c>
      <c r="AL7" s="69" t="s">
        <v>152</v>
      </c>
      <c r="AM7" s="69" t="s">
        <v>152</v>
      </c>
      <c r="AN7" s="69" t="s">
        <v>152</v>
      </c>
      <c r="AO7" s="69" t="s">
        <v>152</v>
      </c>
      <c r="AP7" s="69" t="s">
        <v>152</v>
      </c>
      <c r="AQ7" s="69" t="s">
        <v>152</v>
      </c>
      <c r="AR7" s="69"/>
      <c r="AS7" s="69"/>
      <c r="AT7" s="70"/>
    </row>
    <row r="8" spans="4:46" ht="20.25" customHeight="1" thickBot="1" x14ac:dyDescent="0.2">
      <c r="D8" s="177" t="s">
        <v>165</v>
      </c>
      <c r="E8" s="133">
        <v>0.05</v>
      </c>
      <c r="F8" s="71">
        <v>0.05</v>
      </c>
      <c r="G8" s="71">
        <v>0.05</v>
      </c>
      <c r="H8" s="71">
        <v>0.05</v>
      </c>
      <c r="I8" s="134">
        <v>0.05</v>
      </c>
      <c r="J8" s="71">
        <v>0.1</v>
      </c>
      <c r="K8" s="71">
        <v>0.05</v>
      </c>
      <c r="L8" s="133">
        <v>0.05</v>
      </c>
      <c r="M8" s="71">
        <v>0.05</v>
      </c>
      <c r="N8" s="71">
        <v>0.05</v>
      </c>
      <c r="O8" s="133">
        <v>0.05</v>
      </c>
      <c r="P8" s="71">
        <v>0.05</v>
      </c>
      <c r="Q8" s="71">
        <v>0.05</v>
      </c>
      <c r="R8" s="133">
        <v>0.05</v>
      </c>
      <c r="S8" s="71">
        <v>0.05</v>
      </c>
      <c r="T8" s="71">
        <v>0.05</v>
      </c>
      <c r="U8" s="71">
        <v>0.05</v>
      </c>
      <c r="V8" s="71">
        <v>0.05</v>
      </c>
      <c r="W8" s="71">
        <v>0.05</v>
      </c>
      <c r="X8" s="71">
        <v>0.05</v>
      </c>
      <c r="Y8" s="71">
        <v>0.05</v>
      </c>
      <c r="Z8" s="71">
        <v>0.05</v>
      </c>
      <c r="AA8" s="134">
        <v>0.2</v>
      </c>
      <c r="AB8" s="133">
        <v>0.05</v>
      </c>
      <c r="AC8" s="195">
        <v>0.05</v>
      </c>
      <c r="AD8" s="194">
        <v>0.1</v>
      </c>
      <c r="AE8" s="71">
        <v>0.1</v>
      </c>
      <c r="AF8" s="71">
        <v>0.1</v>
      </c>
      <c r="AG8" s="71">
        <v>0.1</v>
      </c>
      <c r="AH8" s="71">
        <v>0.1</v>
      </c>
      <c r="AI8" s="195">
        <v>0.1</v>
      </c>
      <c r="AJ8" s="71"/>
      <c r="AK8" s="71">
        <v>0</v>
      </c>
      <c r="AL8" s="71">
        <v>0</v>
      </c>
      <c r="AM8" s="71">
        <v>0.1</v>
      </c>
      <c r="AN8" s="71">
        <v>0</v>
      </c>
      <c r="AO8" s="71">
        <v>0</v>
      </c>
      <c r="AP8" s="71">
        <v>0</v>
      </c>
      <c r="AQ8" s="71">
        <v>0</v>
      </c>
      <c r="AR8" s="71"/>
      <c r="AS8" s="71"/>
      <c r="AT8" s="72"/>
    </row>
    <row r="9" spans="4:46" ht="20.25" customHeight="1" x14ac:dyDescent="0.15">
      <c r="D9" s="175" t="s">
        <v>149</v>
      </c>
      <c r="E9" s="129">
        <v>0</v>
      </c>
      <c r="F9" s="66">
        <v>2</v>
      </c>
      <c r="G9" s="66">
        <v>3</v>
      </c>
      <c r="H9" s="66">
        <v>5</v>
      </c>
      <c r="I9" s="130">
        <v>6</v>
      </c>
      <c r="J9" s="66">
        <v>10</v>
      </c>
      <c r="K9" s="66">
        <v>5</v>
      </c>
      <c r="L9" s="129">
        <v>5</v>
      </c>
      <c r="M9" s="66">
        <v>5</v>
      </c>
      <c r="N9" s="66">
        <v>6</v>
      </c>
      <c r="O9" s="129">
        <v>3</v>
      </c>
      <c r="P9" s="66">
        <v>5</v>
      </c>
      <c r="Q9" s="66">
        <v>5</v>
      </c>
      <c r="R9" s="129">
        <v>5</v>
      </c>
      <c r="S9" s="66">
        <v>4</v>
      </c>
      <c r="T9" s="66">
        <v>6</v>
      </c>
      <c r="U9" s="66">
        <v>2</v>
      </c>
      <c r="V9" s="66">
        <v>2</v>
      </c>
      <c r="W9" s="66">
        <v>3</v>
      </c>
      <c r="X9" s="66">
        <v>4</v>
      </c>
      <c r="Y9" s="66">
        <v>0</v>
      </c>
      <c r="Z9" s="66">
        <v>4</v>
      </c>
      <c r="AA9" s="130">
        <v>7</v>
      </c>
      <c r="AB9" s="129">
        <v>7</v>
      </c>
      <c r="AC9" s="191">
        <v>9</v>
      </c>
      <c r="AD9" s="190">
        <v>1</v>
      </c>
      <c r="AE9" s="66">
        <v>4</v>
      </c>
      <c r="AF9" s="66">
        <v>5</v>
      </c>
      <c r="AG9" s="66">
        <v>6</v>
      </c>
      <c r="AH9" s="66">
        <v>7</v>
      </c>
      <c r="AI9" s="191">
        <v>9</v>
      </c>
      <c r="AJ9" s="66"/>
      <c r="AK9" s="66">
        <v>1</v>
      </c>
      <c r="AL9" s="66">
        <v>2</v>
      </c>
      <c r="AM9" s="66">
        <v>1</v>
      </c>
      <c r="AN9" s="66">
        <v>2</v>
      </c>
      <c r="AO9" s="66">
        <v>3</v>
      </c>
      <c r="AP9" s="66">
        <v>1</v>
      </c>
      <c r="AQ9" s="66">
        <v>2</v>
      </c>
      <c r="AR9" s="66">
        <v>2</v>
      </c>
      <c r="AS9" s="66"/>
      <c r="AT9" s="67"/>
    </row>
    <row r="10" spans="4:46" ht="20.25" customHeight="1" x14ac:dyDescent="0.15">
      <c r="D10" s="176" t="s">
        <v>16</v>
      </c>
      <c r="E10" s="131">
        <v>0</v>
      </c>
      <c r="F10" s="69">
        <v>1</v>
      </c>
      <c r="G10" s="69">
        <v>4</v>
      </c>
      <c r="H10" s="69">
        <v>5</v>
      </c>
      <c r="I10" s="132">
        <v>10</v>
      </c>
      <c r="J10" s="69">
        <v>10</v>
      </c>
      <c r="K10" s="69">
        <v>10</v>
      </c>
      <c r="L10" s="131">
        <v>5</v>
      </c>
      <c r="M10" s="69">
        <v>5</v>
      </c>
      <c r="N10" s="69">
        <v>10</v>
      </c>
      <c r="O10" s="131">
        <v>1</v>
      </c>
      <c r="P10" s="69">
        <v>1</v>
      </c>
      <c r="Q10" s="69">
        <v>5</v>
      </c>
      <c r="R10" s="131">
        <v>3</v>
      </c>
      <c r="S10" s="69">
        <v>3</v>
      </c>
      <c r="T10" s="69">
        <v>3</v>
      </c>
      <c r="U10" s="69">
        <v>3</v>
      </c>
      <c r="V10" s="69">
        <v>3</v>
      </c>
      <c r="W10" s="69">
        <v>3</v>
      </c>
      <c r="X10" s="69">
        <v>3</v>
      </c>
      <c r="Y10" s="69">
        <v>0</v>
      </c>
      <c r="Z10" s="69">
        <v>3</v>
      </c>
      <c r="AA10" s="132">
        <v>5</v>
      </c>
      <c r="AB10" s="131">
        <v>10</v>
      </c>
      <c r="AC10" s="193">
        <v>10</v>
      </c>
      <c r="AD10" s="192">
        <v>0</v>
      </c>
      <c r="AE10" s="69">
        <v>1</v>
      </c>
      <c r="AF10" s="69">
        <v>2</v>
      </c>
      <c r="AG10" s="69">
        <v>3</v>
      </c>
      <c r="AH10" s="69">
        <v>4</v>
      </c>
      <c r="AI10" s="193">
        <v>5</v>
      </c>
      <c r="AJ10" s="69"/>
      <c r="AK10" s="69">
        <v>0</v>
      </c>
      <c r="AL10" s="69">
        <v>5</v>
      </c>
      <c r="AM10" s="69">
        <v>5</v>
      </c>
      <c r="AN10" s="69">
        <v>3</v>
      </c>
      <c r="AO10" s="69">
        <v>3</v>
      </c>
      <c r="AP10" s="69">
        <v>2</v>
      </c>
      <c r="AQ10" s="69">
        <v>5</v>
      </c>
      <c r="AR10" s="69">
        <v>3</v>
      </c>
      <c r="AS10" s="69"/>
      <c r="AT10" s="70"/>
    </row>
    <row r="11" spans="4:46" ht="20.25" customHeight="1" x14ac:dyDescent="0.15">
      <c r="D11" s="176" t="s">
        <v>17</v>
      </c>
      <c r="E11" s="131">
        <v>0</v>
      </c>
      <c r="F11" s="69">
        <v>1</v>
      </c>
      <c r="G11" s="69">
        <v>2</v>
      </c>
      <c r="H11" s="69">
        <v>2</v>
      </c>
      <c r="I11" s="132">
        <v>2</v>
      </c>
      <c r="J11" s="69">
        <v>2</v>
      </c>
      <c r="K11" s="69">
        <v>3</v>
      </c>
      <c r="L11" s="131">
        <v>2</v>
      </c>
      <c r="M11" s="69">
        <v>2</v>
      </c>
      <c r="N11" s="69">
        <v>2</v>
      </c>
      <c r="O11" s="131">
        <v>1</v>
      </c>
      <c r="P11" s="69">
        <v>1</v>
      </c>
      <c r="Q11" s="69">
        <v>2</v>
      </c>
      <c r="R11" s="131">
        <v>3</v>
      </c>
      <c r="S11" s="69">
        <v>3</v>
      </c>
      <c r="T11" s="69">
        <v>3</v>
      </c>
      <c r="U11" s="69">
        <v>3</v>
      </c>
      <c r="V11" s="69">
        <v>3</v>
      </c>
      <c r="W11" s="69">
        <v>3</v>
      </c>
      <c r="X11" s="69">
        <v>3</v>
      </c>
      <c r="Y11" s="69">
        <v>0</v>
      </c>
      <c r="Z11" s="69">
        <v>3</v>
      </c>
      <c r="AA11" s="132">
        <v>1</v>
      </c>
      <c r="AB11" s="131">
        <v>3</v>
      </c>
      <c r="AC11" s="193">
        <v>3</v>
      </c>
      <c r="AD11" s="192">
        <v>0</v>
      </c>
      <c r="AE11" s="69">
        <v>1</v>
      </c>
      <c r="AF11" s="69">
        <v>1</v>
      </c>
      <c r="AG11" s="69">
        <v>2</v>
      </c>
      <c r="AH11" s="69">
        <v>3</v>
      </c>
      <c r="AI11" s="193">
        <v>2</v>
      </c>
      <c r="AJ11" s="69"/>
      <c r="AK11" s="69">
        <v>0</v>
      </c>
      <c r="AL11" s="69">
        <v>2</v>
      </c>
      <c r="AM11" s="69">
        <v>2</v>
      </c>
      <c r="AN11" s="69">
        <v>2</v>
      </c>
      <c r="AO11" s="69">
        <v>2</v>
      </c>
      <c r="AP11" s="69">
        <v>3</v>
      </c>
      <c r="AQ11" s="69">
        <v>5</v>
      </c>
      <c r="AR11" s="69">
        <v>3</v>
      </c>
      <c r="AS11" s="69"/>
      <c r="AT11" s="70"/>
    </row>
    <row r="12" spans="4:46" ht="20.25" customHeight="1" thickBot="1" x14ac:dyDescent="0.2">
      <c r="D12" s="176" t="s">
        <v>164</v>
      </c>
      <c r="E12" s="131">
        <v>5</v>
      </c>
      <c r="F12" s="69">
        <v>5</v>
      </c>
      <c r="G12" s="69">
        <v>4</v>
      </c>
      <c r="H12" s="69">
        <v>7</v>
      </c>
      <c r="I12" s="132">
        <v>11</v>
      </c>
      <c r="J12" s="69">
        <v>10</v>
      </c>
      <c r="K12" s="69">
        <v>7</v>
      </c>
      <c r="L12" s="131">
        <v>5</v>
      </c>
      <c r="M12" s="69">
        <v>5</v>
      </c>
      <c r="N12" s="69">
        <v>6</v>
      </c>
      <c r="O12" s="131">
        <v>5</v>
      </c>
      <c r="P12" s="69">
        <v>5</v>
      </c>
      <c r="Q12" s="69">
        <v>5</v>
      </c>
      <c r="R12" s="131">
        <v>5</v>
      </c>
      <c r="S12" s="69">
        <v>6</v>
      </c>
      <c r="T12" s="69">
        <v>6</v>
      </c>
      <c r="U12" s="69">
        <v>5</v>
      </c>
      <c r="V12" s="69">
        <v>5</v>
      </c>
      <c r="W12" s="69">
        <v>4</v>
      </c>
      <c r="X12" s="69">
        <v>7</v>
      </c>
      <c r="Y12" s="69">
        <v>5</v>
      </c>
      <c r="Z12" s="69">
        <v>7</v>
      </c>
      <c r="AA12" s="132">
        <v>7</v>
      </c>
      <c r="AB12" s="131">
        <v>11</v>
      </c>
      <c r="AC12" s="193">
        <v>11</v>
      </c>
      <c r="AD12" s="192">
        <v>4</v>
      </c>
      <c r="AE12" s="69">
        <v>5</v>
      </c>
      <c r="AF12" s="69">
        <v>6</v>
      </c>
      <c r="AG12" s="69">
        <v>6</v>
      </c>
      <c r="AH12" s="69">
        <v>9</v>
      </c>
      <c r="AI12" s="193">
        <v>11</v>
      </c>
      <c r="AJ12" s="69"/>
      <c r="AK12" s="69">
        <v>3</v>
      </c>
      <c r="AL12" s="69">
        <v>3</v>
      </c>
      <c r="AM12" s="69">
        <v>7</v>
      </c>
      <c r="AN12" s="69">
        <v>2</v>
      </c>
      <c r="AO12" s="69">
        <v>2</v>
      </c>
      <c r="AP12" s="69">
        <v>2</v>
      </c>
      <c r="AQ12" s="69">
        <v>4</v>
      </c>
      <c r="AR12" s="69">
        <v>4</v>
      </c>
      <c r="AS12" s="69"/>
      <c r="AT12" s="70"/>
    </row>
    <row r="13" spans="4:46" ht="20.25" customHeight="1" x14ac:dyDescent="0.15">
      <c r="D13" s="175" t="s">
        <v>18</v>
      </c>
      <c r="E13" s="129">
        <v>0</v>
      </c>
      <c r="F13" s="66">
        <v>0</v>
      </c>
      <c r="G13" s="66">
        <v>10</v>
      </c>
      <c r="H13" s="66">
        <v>10</v>
      </c>
      <c r="I13" s="130">
        <v>20</v>
      </c>
      <c r="J13" s="66">
        <v>20</v>
      </c>
      <c r="K13" s="66">
        <v>10</v>
      </c>
      <c r="L13" s="129">
        <v>0</v>
      </c>
      <c r="M13" s="66">
        <v>0</v>
      </c>
      <c r="N13" s="66">
        <v>10</v>
      </c>
      <c r="O13" s="129">
        <v>5</v>
      </c>
      <c r="P13" s="66">
        <v>5</v>
      </c>
      <c r="Q13" s="66">
        <v>0</v>
      </c>
      <c r="R13" s="129">
        <v>3</v>
      </c>
      <c r="S13" s="66">
        <v>3</v>
      </c>
      <c r="T13" s="66">
        <v>5</v>
      </c>
      <c r="U13" s="66">
        <v>5</v>
      </c>
      <c r="V13" s="66">
        <v>5</v>
      </c>
      <c r="W13" s="66">
        <v>20</v>
      </c>
      <c r="X13" s="66">
        <v>0</v>
      </c>
      <c r="Y13" s="66">
        <v>0</v>
      </c>
      <c r="Z13" s="66">
        <v>1</v>
      </c>
      <c r="AA13" s="130">
        <v>0</v>
      </c>
      <c r="AB13" s="129">
        <v>10</v>
      </c>
      <c r="AC13" s="191">
        <v>10</v>
      </c>
      <c r="AD13" s="190">
        <v>0</v>
      </c>
      <c r="AE13" s="66">
        <v>0</v>
      </c>
      <c r="AF13" s="66">
        <v>0</v>
      </c>
      <c r="AG13" s="66">
        <v>0</v>
      </c>
      <c r="AH13" s="66">
        <v>0</v>
      </c>
      <c r="AI13" s="191">
        <v>0</v>
      </c>
      <c r="AJ13" s="66"/>
      <c r="AK13" s="66">
        <v>6</v>
      </c>
      <c r="AL13" s="66">
        <v>20</v>
      </c>
      <c r="AM13" s="66">
        <v>10</v>
      </c>
      <c r="AN13" s="66">
        <v>20</v>
      </c>
      <c r="AO13" s="66">
        <v>20</v>
      </c>
      <c r="AP13" s="66">
        <v>10</v>
      </c>
      <c r="AQ13" s="66">
        <v>10</v>
      </c>
      <c r="AR13" s="66">
        <v>5</v>
      </c>
      <c r="AS13" s="66"/>
      <c r="AT13" s="67"/>
    </row>
    <row r="14" spans="4:46" ht="20.25" customHeight="1" x14ac:dyDescent="0.15">
      <c r="D14" s="176" t="s">
        <v>240</v>
      </c>
      <c r="E14" s="131">
        <v>0</v>
      </c>
      <c r="F14" s="69">
        <v>0</v>
      </c>
      <c r="G14" s="69">
        <v>10</v>
      </c>
      <c r="H14" s="69">
        <v>10</v>
      </c>
      <c r="I14" s="132">
        <v>20</v>
      </c>
      <c r="J14" s="69">
        <v>20</v>
      </c>
      <c r="K14" s="69">
        <v>10</v>
      </c>
      <c r="L14" s="131">
        <v>0</v>
      </c>
      <c r="M14" s="69">
        <v>0</v>
      </c>
      <c r="N14" s="69">
        <v>10</v>
      </c>
      <c r="O14" s="131">
        <v>5</v>
      </c>
      <c r="P14" s="69">
        <v>5</v>
      </c>
      <c r="Q14" s="69">
        <v>0</v>
      </c>
      <c r="R14" s="131">
        <v>3</v>
      </c>
      <c r="S14" s="69">
        <v>3</v>
      </c>
      <c r="T14" s="69">
        <v>5</v>
      </c>
      <c r="U14" s="69">
        <v>5</v>
      </c>
      <c r="V14" s="69">
        <v>5</v>
      </c>
      <c r="W14" s="69">
        <v>20</v>
      </c>
      <c r="X14" s="69">
        <v>0</v>
      </c>
      <c r="Y14" s="69">
        <v>0</v>
      </c>
      <c r="Z14" s="69">
        <v>1</v>
      </c>
      <c r="AA14" s="132">
        <v>0</v>
      </c>
      <c r="AB14" s="131">
        <v>10</v>
      </c>
      <c r="AC14" s="193">
        <v>10</v>
      </c>
      <c r="AD14" s="192">
        <v>0</v>
      </c>
      <c r="AE14" s="69">
        <v>0</v>
      </c>
      <c r="AF14" s="69">
        <v>0</v>
      </c>
      <c r="AG14" s="69">
        <v>0</v>
      </c>
      <c r="AH14" s="69">
        <v>0</v>
      </c>
      <c r="AI14" s="193">
        <v>0</v>
      </c>
      <c r="AJ14" s="69"/>
      <c r="AK14" s="69">
        <v>0</v>
      </c>
      <c r="AL14" s="69">
        <v>20</v>
      </c>
      <c r="AM14" s="69">
        <v>10</v>
      </c>
      <c r="AN14" s="69">
        <v>20</v>
      </c>
      <c r="AO14" s="69">
        <v>20</v>
      </c>
      <c r="AP14" s="69">
        <v>5</v>
      </c>
      <c r="AQ14" s="69">
        <v>10</v>
      </c>
      <c r="AR14" s="69">
        <v>5</v>
      </c>
      <c r="AS14" s="69"/>
      <c r="AT14" s="70"/>
    </row>
    <row r="15" spans="4:46" ht="20.25" customHeight="1" thickBot="1" x14ac:dyDescent="0.2">
      <c r="D15" s="177" t="s">
        <v>20</v>
      </c>
      <c r="E15" s="135">
        <v>1</v>
      </c>
      <c r="F15" s="81">
        <v>3</v>
      </c>
      <c r="G15" s="81">
        <v>10</v>
      </c>
      <c r="H15" s="81">
        <v>10</v>
      </c>
      <c r="I15" s="136">
        <v>10</v>
      </c>
      <c r="J15" s="81">
        <v>10</v>
      </c>
      <c r="K15" s="81">
        <v>10</v>
      </c>
      <c r="L15" s="135">
        <v>3</v>
      </c>
      <c r="M15" s="81">
        <v>3</v>
      </c>
      <c r="N15" s="81">
        <v>10</v>
      </c>
      <c r="O15" s="135">
        <v>6</v>
      </c>
      <c r="P15" s="81">
        <v>6</v>
      </c>
      <c r="Q15" s="81">
        <v>3</v>
      </c>
      <c r="R15" s="135">
        <v>12</v>
      </c>
      <c r="S15" s="81">
        <v>12</v>
      </c>
      <c r="T15" s="81">
        <v>12</v>
      </c>
      <c r="U15" s="81">
        <v>12</v>
      </c>
      <c r="V15" s="81">
        <v>12</v>
      </c>
      <c r="W15" s="81">
        <v>12</v>
      </c>
      <c r="X15" s="81">
        <v>0</v>
      </c>
      <c r="Y15" s="81">
        <v>1</v>
      </c>
      <c r="Z15" s="81">
        <v>12</v>
      </c>
      <c r="AA15" s="136">
        <v>0</v>
      </c>
      <c r="AB15" s="135">
        <v>10</v>
      </c>
      <c r="AC15" s="197">
        <v>10</v>
      </c>
      <c r="AD15" s="196">
        <v>1</v>
      </c>
      <c r="AE15" s="81">
        <v>3</v>
      </c>
      <c r="AF15" s="81">
        <v>6</v>
      </c>
      <c r="AG15" s="81">
        <v>8</v>
      </c>
      <c r="AH15" s="81">
        <v>10</v>
      </c>
      <c r="AI15" s="197">
        <v>10</v>
      </c>
      <c r="AJ15" s="81"/>
      <c r="AK15" s="81">
        <v>2</v>
      </c>
      <c r="AL15" s="81">
        <v>5</v>
      </c>
      <c r="AM15" s="81">
        <v>2</v>
      </c>
      <c r="AN15" s="81">
        <v>12</v>
      </c>
      <c r="AO15" s="81">
        <v>12</v>
      </c>
      <c r="AP15" s="81">
        <v>2</v>
      </c>
      <c r="AQ15" s="81">
        <v>6</v>
      </c>
      <c r="AR15" s="81">
        <v>8</v>
      </c>
      <c r="AS15" s="81"/>
      <c r="AT15" s="82"/>
    </row>
    <row r="16" spans="4:46" ht="20.25" customHeight="1" x14ac:dyDescent="0.15">
      <c r="D16" s="175" t="s">
        <v>25</v>
      </c>
      <c r="E16" s="129" t="s">
        <v>33</v>
      </c>
      <c r="F16" s="66" t="s">
        <v>36</v>
      </c>
      <c r="G16" s="66" t="s">
        <v>36</v>
      </c>
      <c r="H16" s="66" t="s">
        <v>36</v>
      </c>
      <c r="I16" s="130" t="s">
        <v>36</v>
      </c>
      <c r="J16" s="66" t="s">
        <v>37</v>
      </c>
      <c r="K16" s="66" t="s">
        <v>37</v>
      </c>
      <c r="L16" s="129" t="s">
        <v>38</v>
      </c>
      <c r="M16" s="66" t="s">
        <v>38</v>
      </c>
      <c r="N16" s="66" t="s">
        <v>38</v>
      </c>
      <c r="O16" s="129" t="s">
        <v>36</v>
      </c>
      <c r="P16" s="66" t="s">
        <v>36</v>
      </c>
      <c r="Q16" s="66" t="s">
        <v>38</v>
      </c>
      <c r="R16" s="129" t="s">
        <v>36</v>
      </c>
      <c r="S16" s="66" t="s">
        <v>36</v>
      </c>
      <c r="T16" s="66" t="s">
        <v>38</v>
      </c>
      <c r="U16" s="66" t="s">
        <v>36</v>
      </c>
      <c r="V16" s="66" t="s">
        <v>36</v>
      </c>
      <c r="W16" s="66" t="s">
        <v>33</v>
      </c>
      <c r="X16" s="66" t="s">
        <v>33</v>
      </c>
      <c r="Y16" s="66" t="s">
        <v>33</v>
      </c>
      <c r="Z16" s="66" t="s">
        <v>33</v>
      </c>
      <c r="AA16" s="130" t="s">
        <v>36</v>
      </c>
      <c r="AB16" s="129" t="s">
        <v>36</v>
      </c>
      <c r="AC16" s="191" t="s">
        <v>36</v>
      </c>
      <c r="AD16" s="190" t="s">
        <v>36</v>
      </c>
      <c r="AE16" s="66" t="s">
        <v>36</v>
      </c>
      <c r="AF16" s="66" t="s">
        <v>36</v>
      </c>
      <c r="AG16" s="66" t="s">
        <v>36</v>
      </c>
      <c r="AH16" s="66" t="s">
        <v>36</v>
      </c>
      <c r="AI16" s="191" t="s">
        <v>36</v>
      </c>
      <c r="AJ16" s="66"/>
      <c r="AK16" s="66" t="s">
        <v>36</v>
      </c>
      <c r="AL16" s="66" t="s">
        <v>36</v>
      </c>
      <c r="AM16" s="66" t="s">
        <v>36</v>
      </c>
      <c r="AN16" s="66" t="s">
        <v>36</v>
      </c>
      <c r="AO16" s="66" t="s">
        <v>36</v>
      </c>
      <c r="AP16" s="66" t="s">
        <v>36</v>
      </c>
      <c r="AQ16" s="66" t="s">
        <v>36</v>
      </c>
      <c r="AR16" s="66" t="s">
        <v>36</v>
      </c>
      <c r="AS16" s="66" t="s">
        <v>37</v>
      </c>
      <c r="AT16" s="67" t="s">
        <v>38</v>
      </c>
    </row>
    <row r="17" spans="4:46" ht="20.25" customHeight="1" x14ac:dyDescent="0.15">
      <c r="D17" s="176" t="s">
        <v>176</v>
      </c>
      <c r="E17" s="131" t="s">
        <v>57</v>
      </c>
      <c r="F17" s="69" t="s">
        <v>57</v>
      </c>
      <c r="G17" s="69" t="s">
        <v>57</v>
      </c>
      <c r="H17" s="69" t="s">
        <v>152</v>
      </c>
      <c r="I17" s="132" t="s">
        <v>152</v>
      </c>
      <c r="J17" s="69" t="s">
        <v>57</v>
      </c>
      <c r="K17" s="69" t="s">
        <v>152</v>
      </c>
      <c r="L17" s="131" t="s">
        <v>152</v>
      </c>
      <c r="M17" s="69" t="s">
        <v>152</v>
      </c>
      <c r="N17" s="69" t="s">
        <v>152</v>
      </c>
      <c r="O17" s="131" t="s">
        <v>57</v>
      </c>
      <c r="P17" s="69" t="s">
        <v>57</v>
      </c>
      <c r="Q17" s="69" t="s">
        <v>152</v>
      </c>
      <c r="R17" s="131" t="s">
        <v>57</v>
      </c>
      <c r="S17" s="69" t="s">
        <v>57</v>
      </c>
      <c r="T17" s="69" t="s">
        <v>152</v>
      </c>
      <c r="U17" s="69" t="s">
        <v>152</v>
      </c>
      <c r="V17" s="69" t="s">
        <v>152</v>
      </c>
      <c r="W17" s="69" t="s">
        <v>57</v>
      </c>
      <c r="X17" s="69" t="s">
        <v>57</v>
      </c>
      <c r="Y17" s="69" t="s">
        <v>57</v>
      </c>
      <c r="Z17" s="69" t="s">
        <v>57</v>
      </c>
      <c r="AA17" s="132" t="s">
        <v>57</v>
      </c>
      <c r="AB17" s="131" t="s">
        <v>152</v>
      </c>
      <c r="AC17" s="193" t="s">
        <v>152</v>
      </c>
      <c r="AD17" s="192" t="s">
        <v>57</v>
      </c>
      <c r="AE17" s="69" t="s">
        <v>152</v>
      </c>
      <c r="AF17" s="69" t="s">
        <v>57</v>
      </c>
      <c r="AG17" s="69" t="s">
        <v>57</v>
      </c>
      <c r="AH17" s="69" t="s">
        <v>57</v>
      </c>
      <c r="AI17" s="193" t="s">
        <v>152</v>
      </c>
      <c r="AJ17" s="69"/>
      <c r="AK17" s="69" t="s">
        <v>57</v>
      </c>
      <c r="AL17" s="69" t="s">
        <v>57</v>
      </c>
      <c r="AM17" s="69" t="s">
        <v>152</v>
      </c>
      <c r="AN17" s="69" t="s">
        <v>57</v>
      </c>
      <c r="AO17" s="69" t="s">
        <v>57</v>
      </c>
      <c r="AP17" s="69" t="s">
        <v>57</v>
      </c>
      <c r="AQ17" s="69" t="s">
        <v>152</v>
      </c>
      <c r="AR17" s="69" t="s">
        <v>152</v>
      </c>
      <c r="AS17" s="69" t="s">
        <v>152</v>
      </c>
      <c r="AT17" s="70" t="s">
        <v>152</v>
      </c>
    </row>
    <row r="18" spans="4:46" ht="20.25" customHeight="1" thickBot="1" x14ac:dyDescent="0.2">
      <c r="D18" s="177" t="s">
        <v>179</v>
      </c>
      <c r="E18" s="135">
        <v>7</v>
      </c>
      <c r="F18" s="81">
        <v>13</v>
      </c>
      <c r="G18" s="81">
        <v>13</v>
      </c>
      <c r="H18" s="81">
        <v>13</v>
      </c>
      <c r="I18" s="136">
        <v>16</v>
      </c>
      <c r="J18" s="81">
        <v>22</v>
      </c>
      <c r="K18" s="81">
        <v>18</v>
      </c>
      <c r="L18" s="135">
        <v>23</v>
      </c>
      <c r="M18" s="81">
        <v>21</v>
      </c>
      <c r="N18" s="81">
        <v>20</v>
      </c>
      <c r="O18" s="135">
        <v>13</v>
      </c>
      <c r="P18" s="81">
        <v>13</v>
      </c>
      <c r="Q18" s="81">
        <v>21</v>
      </c>
      <c r="R18" s="135">
        <v>13</v>
      </c>
      <c r="S18" s="81">
        <v>12</v>
      </c>
      <c r="T18" s="81">
        <v>20</v>
      </c>
      <c r="U18" s="81">
        <v>18</v>
      </c>
      <c r="V18" s="81">
        <v>18</v>
      </c>
      <c r="W18" s="81">
        <v>12</v>
      </c>
      <c r="X18" s="81">
        <v>11</v>
      </c>
      <c r="Y18" s="81">
        <v>7</v>
      </c>
      <c r="Z18" s="81">
        <v>11</v>
      </c>
      <c r="AA18" s="136">
        <v>12</v>
      </c>
      <c r="AB18" s="135">
        <v>18</v>
      </c>
      <c r="AC18" s="197">
        <v>18</v>
      </c>
      <c r="AD18" s="196">
        <v>11</v>
      </c>
      <c r="AE18" s="81">
        <v>12</v>
      </c>
      <c r="AF18" s="81">
        <v>14</v>
      </c>
      <c r="AG18" s="81">
        <v>16</v>
      </c>
      <c r="AH18" s="81">
        <v>15</v>
      </c>
      <c r="AI18" s="197">
        <v>16</v>
      </c>
      <c r="AJ18" s="81"/>
      <c r="AK18" s="81">
        <v>15</v>
      </c>
      <c r="AL18" s="81">
        <v>17</v>
      </c>
      <c r="AM18" s="81">
        <v>15</v>
      </c>
      <c r="AN18" s="81">
        <v>16</v>
      </c>
      <c r="AO18" s="81">
        <v>14</v>
      </c>
      <c r="AP18" s="81">
        <v>13</v>
      </c>
      <c r="AQ18" s="81">
        <v>13</v>
      </c>
      <c r="AR18" s="81">
        <v>18</v>
      </c>
      <c r="AS18" s="81"/>
      <c r="AT18" s="82"/>
    </row>
    <row r="19" spans="4:46" ht="20.25" customHeight="1" thickBot="1" x14ac:dyDescent="0.2">
      <c r="D19" s="177" t="s">
        <v>242</v>
      </c>
      <c r="E19" s="135" t="s">
        <v>243</v>
      </c>
      <c r="F19" s="74" t="s">
        <v>243</v>
      </c>
      <c r="G19" s="74" t="s">
        <v>243</v>
      </c>
      <c r="H19" s="74" t="s">
        <v>243</v>
      </c>
      <c r="I19" s="137" t="s">
        <v>243</v>
      </c>
      <c r="J19" s="74" t="s">
        <v>243</v>
      </c>
      <c r="K19" s="74" t="s">
        <v>243</v>
      </c>
      <c r="L19" s="268" t="s">
        <v>274</v>
      </c>
      <c r="M19" s="269" t="s">
        <v>285</v>
      </c>
      <c r="N19" s="269" t="s">
        <v>289</v>
      </c>
      <c r="O19" s="168" t="s">
        <v>243</v>
      </c>
      <c r="P19" s="74" t="s">
        <v>243</v>
      </c>
      <c r="Q19" s="269" t="s">
        <v>285</v>
      </c>
      <c r="R19" s="168" t="s">
        <v>243</v>
      </c>
      <c r="S19" s="74" t="s">
        <v>243</v>
      </c>
      <c r="T19" s="269" t="s">
        <v>289</v>
      </c>
      <c r="U19" s="74" t="s">
        <v>243</v>
      </c>
      <c r="V19" s="269" t="s">
        <v>243</v>
      </c>
      <c r="W19" s="74" t="s">
        <v>243</v>
      </c>
      <c r="X19" s="74" t="s">
        <v>274</v>
      </c>
      <c r="Y19" s="74" t="s">
        <v>243</v>
      </c>
      <c r="Z19" s="74" t="s">
        <v>274</v>
      </c>
      <c r="AA19" s="137" t="s">
        <v>347</v>
      </c>
      <c r="AB19" s="168" t="s">
        <v>243</v>
      </c>
      <c r="AC19" s="199" t="s">
        <v>243</v>
      </c>
      <c r="AD19" s="198" t="s">
        <v>262</v>
      </c>
      <c r="AE19" s="74" t="s">
        <v>243</v>
      </c>
      <c r="AF19" s="74" t="s">
        <v>243</v>
      </c>
      <c r="AG19" s="74" t="s">
        <v>243</v>
      </c>
      <c r="AH19" s="74" t="s">
        <v>274</v>
      </c>
      <c r="AI19" s="199" t="s">
        <v>274</v>
      </c>
      <c r="AJ19" s="74"/>
      <c r="AK19" s="74"/>
      <c r="AL19" s="81"/>
      <c r="AM19" s="81"/>
      <c r="AN19" s="81"/>
      <c r="AO19" s="81"/>
      <c r="AP19" s="74"/>
      <c r="AQ19" s="74"/>
      <c r="AR19" s="74"/>
      <c r="AS19" s="74"/>
      <c r="AT19" s="82"/>
    </row>
    <row r="20" spans="4:46" ht="20.25" customHeight="1" thickBot="1" x14ac:dyDescent="0.2">
      <c r="D20" s="178" t="s">
        <v>181</v>
      </c>
      <c r="E20" s="138">
        <v>0</v>
      </c>
      <c r="F20" s="77">
        <v>0</v>
      </c>
      <c r="G20" s="77">
        <v>0</v>
      </c>
      <c r="H20" s="77">
        <v>0</v>
      </c>
      <c r="I20" s="139">
        <v>15</v>
      </c>
      <c r="J20" s="77">
        <v>15</v>
      </c>
      <c r="K20" s="77">
        <v>0</v>
      </c>
      <c r="L20" s="263">
        <v>20</v>
      </c>
      <c r="M20" s="261">
        <v>40</v>
      </c>
      <c r="N20" s="261">
        <v>60</v>
      </c>
      <c r="O20" s="138">
        <v>0</v>
      </c>
      <c r="P20" s="77">
        <v>10</v>
      </c>
      <c r="Q20" s="261">
        <v>40</v>
      </c>
      <c r="R20" s="138">
        <v>0</v>
      </c>
      <c r="S20" s="77">
        <v>15</v>
      </c>
      <c r="T20" s="261">
        <v>60</v>
      </c>
      <c r="U20" s="77">
        <v>0</v>
      </c>
      <c r="V20" s="261">
        <v>60</v>
      </c>
      <c r="W20" s="77">
        <v>10</v>
      </c>
      <c r="X20" s="77">
        <v>0</v>
      </c>
      <c r="Y20" s="77">
        <v>0</v>
      </c>
      <c r="Z20" s="77">
        <v>0</v>
      </c>
      <c r="AA20" s="139">
        <v>15</v>
      </c>
      <c r="AB20" s="138"/>
      <c r="AC20" s="201"/>
      <c r="AD20" s="200">
        <v>-15</v>
      </c>
      <c r="AE20" s="77">
        <v>-15</v>
      </c>
      <c r="AF20" s="77">
        <v>0</v>
      </c>
      <c r="AG20" s="77">
        <v>0</v>
      </c>
      <c r="AH20" s="77">
        <v>0</v>
      </c>
      <c r="AI20" s="201">
        <v>10</v>
      </c>
      <c r="AJ20" s="77"/>
      <c r="AK20" s="77">
        <v>0</v>
      </c>
      <c r="AL20" s="77">
        <v>15</v>
      </c>
      <c r="AM20" s="77">
        <v>15</v>
      </c>
      <c r="AN20" s="77">
        <v>0</v>
      </c>
      <c r="AO20" s="77">
        <v>0</v>
      </c>
      <c r="AP20" s="77">
        <v>0</v>
      </c>
      <c r="AQ20" s="77">
        <v>0</v>
      </c>
      <c r="AR20" s="77">
        <v>0</v>
      </c>
      <c r="AS20" s="77">
        <v>15</v>
      </c>
      <c r="AT20" s="78">
        <v>15</v>
      </c>
    </row>
    <row r="21" spans="4:46" ht="20.25" customHeight="1" thickBot="1" x14ac:dyDescent="0.2">
      <c r="D21" s="175" t="s">
        <v>241</v>
      </c>
      <c r="E21" s="129">
        <v>15</v>
      </c>
      <c r="F21" s="66">
        <v>20</v>
      </c>
      <c r="G21" s="66">
        <v>40</v>
      </c>
      <c r="H21" s="66">
        <v>30</v>
      </c>
      <c r="I21" s="130">
        <v>30</v>
      </c>
      <c r="J21" s="66">
        <v>30</v>
      </c>
      <c r="K21" s="66">
        <v>30</v>
      </c>
      <c r="L21" s="264">
        <v>120</v>
      </c>
      <c r="M21" s="262">
        <v>100</v>
      </c>
      <c r="N21" s="262">
        <v>100</v>
      </c>
      <c r="O21" s="129">
        <v>20</v>
      </c>
      <c r="P21" s="66">
        <v>20</v>
      </c>
      <c r="Q21" s="262">
        <v>100</v>
      </c>
      <c r="R21" s="129">
        <v>25</v>
      </c>
      <c r="S21" s="66">
        <v>30</v>
      </c>
      <c r="T21" s="262">
        <v>100</v>
      </c>
      <c r="U21" s="66">
        <v>30</v>
      </c>
      <c r="V21" s="262">
        <v>100</v>
      </c>
      <c r="W21" s="66">
        <v>30</v>
      </c>
      <c r="X21" s="66">
        <v>30</v>
      </c>
      <c r="Y21" s="66">
        <v>15</v>
      </c>
      <c r="Z21" s="66">
        <v>40</v>
      </c>
      <c r="AA21" s="130">
        <v>30</v>
      </c>
      <c r="AB21" s="129">
        <v>40</v>
      </c>
      <c r="AC21" s="191">
        <v>40</v>
      </c>
      <c r="AD21" s="190">
        <v>20</v>
      </c>
      <c r="AE21" s="66">
        <v>20</v>
      </c>
      <c r="AF21" s="66">
        <v>40</v>
      </c>
      <c r="AG21" s="66">
        <v>40</v>
      </c>
      <c r="AH21" s="66">
        <v>40</v>
      </c>
      <c r="AI21" s="191">
        <v>60</v>
      </c>
      <c r="AJ21" s="66"/>
      <c r="AK21" s="89"/>
      <c r="AL21" s="66"/>
      <c r="AM21" s="66"/>
      <c r="AN21" s="66"/>
      <c r="AO21" s="66"/>
      <c r="AP21" s="89"/>
      <c r="AQ21" s="89"/>
      <c r="AR21" s="89"/>
      <c r="AS21" s="89"/>
      <c r="AT21" s="67"/>
    </row>
    <row r="22" spans="4:46" ht="21" customHeight="1" x14ac:dyDescent="0.15">
      <c r="D22" s="175" t="s">
        <v>96</v>
      </c>
      <c r="E22" s="140" t="s">
        <v>231</v>
      </c>
      <c r="F22" s="99" t="s">
        <v>232</v>
      </c>
      <c r="G22" s="99" t="s">
        <v>245</v>
      </c>
      <c r="H22" s="99" t="s">
        <v>233</v>
      </c>
      <c r="I22" s="141" t="s">
        <v>248</v>
      </c>
      <c r="J22" s="140" t="s">
        <v>402</v>
      </c>
      <c r="K22" s="99" t="s">
        <v>406</v>
      </c>
      <c r="L22" s="140" t="s">
        <v>233</v>
      </c>
      <c r="M22" s="99" t="s">
        <v>233</v>
      </c>
      <c r="N22" s="99" t="s">
        <v>248</v>
      </c>
      <c r="O22" s="140" t="s">
        <v>348</v>
      </c>
      <c r="P22" s="99" t="s">
        <v>351</v>
      </c>
      <c r="Q22" s="99" t="s">
        <v>233</v>
      </c>
      <c r="R22" s="140" t="s">
        <v>323</v>
      </c>
      <c r="S22" s="99" t="s">
        <v>327</v>
      </c>
      <c r="T22" s="99" t="s">
        <v>248</v>
      </c>
      <c r="U22" s="99" t="s">
        <v>336</v>
      </c>
      <c r="V22" s="99" t="s">
        <v>336</v>
      </c>
      <c r="W22" s="99" t="s">
        <v>345</v>
      </c>
      <c r="X22" s="99" t="s">
        <v>339</v>
      </c>
      <c r="Y22" s="99" t="s">
        <v>231</v>
      </c>
      <c r="Z22" s="99" t="s">
        <v>339</v>
      </c>
      <c r="AA22" s="99" t="s">
        <v>340</v>
      </c>
      <c r="AB22" s="140" t="s">
        <v>277</v>
      </c>
      <c r="AC22" s="203" t="s">
        <v>430</v>
      </c>
      <c r="AD22" s="202" t="s">
        <v>263</v>
      </c>
      <c r="AE22" s="99" t="s">
        <v>264</v>
      </c>
      <c r="AF22" s="99" t="s">
        <v>268</v>
      </c>
      <c r="AG22" s="99" t="s">
        <v>265</v>
      </c>
      <c r="AH22" s="99" t="s">
        <v>275</v>
      </c>
      <c r="AI22" s="203" t="s">
        <v>276</v>
      </c>
      <c r="AJ22" s="99"/>
      <c r="AK22" s="89"/>
      <c r="AL22" s="89"/>
      <c r="AM22" s="89"/>
      <c r="AN22" s="89"/>
      <c r="AO22" s="89"/>
      <c r="AP22" s="89"/>
      <c r="AQ22" s="89"/>
      <c r="AR22" s="89"/>
      <c r="AS22" s="89"/>
      <c r="AT22" s="90"/>
    </row>
    <row r="23" spans="4:46" ht="21" customHeight="1" x14ac:dyDescent="0.15">
      <c r="D23" s="176" t="s">
        <v>229</v>
      </c>
      <c r="E23" s="142" t="s">
        <v>233</v>
      </c>
      <c r="F23" s="100" t="s">
        <v>233</v>
      </c>
      <c r="G23" s="100" t="s">
        <v>246</v>
      </c>
      <c r="H23" s="100" t="s">
        <v>234</v>
      </c>
      <c r="I23" s="143" t="s">
        <v>250</v>
      </c>
      <c r="J23" s="142" t="s">
        <v>402</v>
      </c>
      <c r="K23" s="100" t="s">
        <v>234</v>
      </c>
      <c r="L23" s="142" t="s">
        <v>233</v>
      </c>
      <c r="M23" s="100" t="s">
        <v>233</v>
      </c>
      <c r="N23" s="100" t="s">
        <v>248</v>
      </c>
      <c r="O23" s="142" t="s">
        <v>233</v>
      </c>
      <c r="P23" s="100" t="s">
        <v>233</v>
      </c>
      <c r="Q23" s="100" t="s">
        <v>233</v>
      </c>
      <c r="R23" s="142" t="s">
        <v>324</v>
      </c>
      <c r="S23" s="100" t="s">
        <v>328</v>
      </c>
      <c r="T23" s="100" t="s">
        <v>248</v>
      </c>
      <c r="U23" s="100" t="s">
        <v>337</v>
      </c>
      <c r="V23" s="100" t="s">
        <v>337</v>
      </c>
      <c r="W23" s="100" t="s">
        <v>344</v>
      </c>
      <c r="X23" s="100" t="s">
        <v>429</v>
      </c>
      <c r="Y23" s="100" t="s">
        <v>233</v>
      </c>
      <c r="Z23" s="100" t="s">
        <v>429</v>
      </c>
      <c r="AA23" s="100" t="s">
        <v>340</v>
      </c>
      <c r="AB23" s="142" t="s">
        <v>278</v>
      </c>
      <c r="AC23" s="205" t="s">
        <v>278</v>
      </c>
      <c r="AD23" s="204" t="s">
        <v>264</v>
      </c>
      <c r="AE23" s="100" t="s">
        <v>268</v>
      </c>
      <c r="AF23" s="100" t="s">
        <v>265</v>
      </c>
      <c r="AG23" s="100" t="s">
        <v>271</v>
      </c>
      <c r="AH23" s="100" t="s">
        <v>276</v>
      </c>
      <c r="AI23" s="205" t="s">
        <v>273</v>
      </c>
      <c r="AJ23" s="100"/>
      <c r="AK23" s="71"/>
      <c r="AL23" s="71"/>
      <c r="AM23" s="71"/>
      <c r="AN23" s="71"/>
      <c r="AO23" s="71"/>
      <c r="AP23" s="71"/>
      <c r="AQ23" s="71"/>
      <c r="AR23" s="71"/>
      <c r="AS23" s="71"/>
      <c r="AT23" s="72"/>
    </row>
    <row r="24" spans="4:46" ht="21" customHeight="1" thickBot="1" x14ac:dyDescent="0.2">
      <c r="D24" s="176" t="s">
        <v>230</v>
      </c>
      <c r="E24" s="144" t="s">
        <v>234</v>
      </c>
      <c r="F24" s="101" t="s">
        <v>234</v>
      </c>
      <c r="G24" s="101" t="s">
        <v>247</v>
      </c>
      <c r="H24" s="101" t="s">
        <v>250</v>
      </c>
      <c r="I24" s="145" t="s">
        <v>251</v>
      </c>
      <c r="J24" s="144" t="s">
        <v>402</v>
      </c>
      <c r="K24" s="101" t="s">
        <v>250</v>
      </c>
      <c r="L24" s="144" t="s">
        <v>234</v>
      </c>
      <c r="M24" s="101" t="s">
        <v>234</v>
      </c>
      <c r="N24" s="101" t="s">
        <v>250</v>
      </c>
      <c r="O24" s="144" t="s">
        <v>234</v>
      </c>
      <c r="P24" s="101" t="s">
        <v>234</v>
      </c>
      <c r="Q24" s="101" t="s">
        <v>234</v>
      </c>
      <c r="R24" s="144" t="s">
        <v>325</v>
      </c>
      <c r="S24" s="101" t="s">
        <v>328</v>
      </c>
      <c r="T24" s="101" t="s">
        <v>250</v>
      </c>
      <c r="U24" s="101" t="s">
        <v>251</v>
      </c>
      <c r="V24" s="101" t="s">
        <v>251</v>
      </c>
      <c r="W24" s="101" t="s">
        <v>343</v>
      </c>
      <c r="X24" s="101" t="s">
        <v>429</v>
      </c>
      <c r="Y24" s="101" t="s">
        <v>342</v>
      </c>
      <c r="Z24" s="101" t="s">
        <v>429</v>
      </c>
      <c r="AA24" s="101" t="s">
        <v>341</v>
      </c>
      <c r="AB24" s="144" t="s">
        <v>278</v>
      </c>
      <c r="AC24" s="207" t="s">
        <v>280</v>
      </c>
      <c r="AD24" s="206" t="s">
        <v>265</v>
      </c>
      <c r="AE24" s="101" t="s">
        <v>265</v>
      </c>
      <c r="AF24" s="101" t="s">
        <v>271</v>
      </c>
      <c r="AG24" s="101" t="s">
        <v>273</v>
      </c>
      <c r="AH24" s="101" t="s">
        <v>273</v>
      </c>
      <c r="AI24" s="207" t="s">
        <v>283</v>
      </c>
      <c r="AJ24" s="101"/>
      <c r="AK24" s="97">
        <v>30</v>
      </c>
      <c r="AL24" s="97">
        <v>30</v>
      </c>
      <c r="AM24" s="97">
        <v>30</v>
      </c>
      <c r="AN24" s="97">
        <v>30</v>
      </c>
      <c r="AO24" s="97">
        <v>50</v>
      </c>
      <c r="AP24" s="97">
        <v>30</v>
      </c>
      <c r="AQ24" s="97">
        <v>30</v>
      </c>
      <c r="AR24" s="97">
        <v>30</v>
      </c>
      <c r="AS24" s="97">
        <v>30</v>
      </c>
      <c r="AT24" s="98">
        <v>30</v>
      </c>
    </row>
    <row r="25" spans="4:46" ht="21" customHeight="1" thickBot="1" x14ac:dyDescent="0.2">
      <c r="D25" s="178" t="s">
        <v>252</v>
      </c>
      <c r="E25" s="146"/>
      <c r="F25" s="120" t="s">
        <v>255</v>
      </c>
      <c r="G25" s="120" t="s">
        <v>256</v>
      </c>
      <c r="H25" s="120" t="s">
        <v>257</v>
      </c>
      <c r="I25" s="147" t="s">
        <v>258</v>
      </c>
      <c r="J25" s="121" t="s">
        <v>403</v>
      </c>
      <c r="K25" s="121" t="s">
        <v>407</v>
      </c>
      <c r="L25" s="169" t="s">
        <v>257</v>
      </c>
      <c r="M25" s="120" t="s">
        <v>257</v>
      </c>
      <c r="N25" s="121" t="s">
        <v>258</v>
      </c>
      <c r="O25" s="169" t="s">
        <v>255</v>
      </c>
      <c r="P25" s="120" t="s">
        <v>255</v>
      </c>
      <c r="Q25" s="120" t="s">
        <v>257</v>
      </c>
      <c r="R25" s="169"/>
      <c r="S25" s="120" t="s">
        <v>329</v>
      </c>
      <c r="T25" s="121" t="s">
        <v>258</v>
      </c>
      <c r="U25" s="120"/>
      <c r="V25" s="120"/>
      <c r="W25" s="120" t="s">
        <v>338</v>
      </c>
      <c r="X25" s="120"/>
      <c r="Y25" s="120"/>
      <c r="Z25" s="120"/>
      <c r="AA25" s="254" t="s">
        <v>346</v>
      </c>
      <c r="AB25" s="169" t="s">
        <v>279</v>
      </c>
      <c r="AC25" s="209" t="s">
        <v>279</v>
      </c>
      <c r="AD25" s="208" t="s">
        <v>266</v>
      </c>
      <c r="AE25" s="121" t="s">
        <v>269</v>
      </c>
      <c r="AF25" s="121" t="s">
        <v>269</v>
      </c>
      <c r="AG25" s="121" t="s">
        <v>284</v>
      </c>
      <c r="AH25" s="121" t="s">
        <v>266</v>
      </c>
      <c r="AI25" s="209" t="s">
        <v>266</v>
      </c>
      <c r="AJ25" s="122"/>
      <c r="AK25" s="123"/>
      <c r="AL25" s="124"/>
      <c r="AM25" s="124"/>
      <c r="AN25" s="124"/>
      <c r="AO25" s="124"/>
      <c r="AP25" s="123"/>
      <c r="AQ25" s="123"/>
      <c r="AR25" s="123"/>
      <c r="AS25" s="123"/>
      <c r="AT25" s="125"/>
    </row>
    <row r="26" spans="4:46" ht="1.5" customHeight="1" thickBot="1" x14ac:dyDescent="0.2">
      <c r="D26" s="176"/>
      <c r="E26" s="148"/>
      <c r="F26" s="102"/>
      <c r="G26" s="102"/>
      <c r="H26" s="102"/>
      <c r="I26" s="149"/>
      <c r="J26" s="114"/>
      <c r="K26" s="114"/>
      <c r="L26" s="170"/>
      <c r="M26" s="114"/>
      <c r="N26" s="114"/>
      <c r="O26" s="170"/>
      <c r="P26" s="102"/>
      <c r="Q26" s="114"/>
      <c r="R26" s="170"/>
      <c r="S26" s="114"/>
      <c r="T26" s="114"/>
      <c r="U26" s="114"/>
      <c r="V26" s="114"/>
      <c r="W26" s="114"/>
      <c r="X26" s="114"/>
      <c r="Y26" s="114"/>
      <c r="Z26" s="114"/>
      <c r="AA26" s="149"/>
      <c r="AB26" s="170"/>
      <c r="AC26" s="211"/>
      <c r="AD26" s="210"/>
      <c r="AE26" s="102"/>
      <c r="AF26" s="102"/>
      <c r="AG26" s="102"/>
      <c r="AH26" s="102"/>
      <c r="AI26" s="229"/>
      <c r="AJ26" s="102"/>
      <c r="AK26" s="71"/>
      <c r="AL26" s="107"/>
      <c r="AM26" s="97"/>
      <c r="AN26" s="107"/>
      <c r="AO26" s="107"/>
      <c r="AP26" s="71"/>
      <c r="AQ26" s="71"/>
      <c r="AR26" s="71"/>
      <c r="AS26" s="71"/>
      <c r="AT26" s="107"/>
    </row>
    <row r="27" spans="4:46" ht="1.5" customHeight="1" thickBot="1" x14ac:dyDescent="0.2">
      <c r="D27" s="179"/>
      <c r="E27" s="150"/>
      <c r="F27" s="110"/>
      <c r="G27" s="110"/>
      <c r="H27" s="110"/>
      <c r="I27" s="151"/>
      <c r="J27" s="111"/>
      <c r="K27" s="111"/>
      <c r="L27" s="171"/>
      <c r="M27" s="111"/>
      <c r="N27" s="111"/>
      <c r="O27" s="171"/>
      <c r="P27" s="110"/>
      <c r="Q27" s="111"/>
      <c r="R27" s="171"/>
      <c r="S27" s="111"/>
      <c r="T27" s="111"/>
      <c r="U27" s="111"/>
      <c r="V27" s="111"/>
      <c r="W27" s="111"/>
      <c r="X27" s="111"/>
      <c r="Y27" s="111"/>
      <c r="Z27" s="111"/>
      <c r="AA27" s="151"/>
      <c r="AB27" s="171"/>
      <c r="AC27" s="213"/>
      <c r="AD27" s="212"/>
      <c r="AE27" s="110"/>
      <c r="AF27" s="110"/>
      <c r="AG27" s="110"/>
      <c r="AH27" s="110"/>
      <c r="AI27" s="230"/>
      <c r="AJ27" s="110"/>
      <c r="AK27" s="112"/>
      <c r="AL27" s="113"/>
      <c r="AM27" s="113"/>
      <c r="AN27" s="113"/>
      <c r="AO27" s="113"/>
      <c r="AP27" s="112"/>
      <c r="AQ27" s="112"/>
      <c r="AR27" s="112"/>
      <c r="AS27" s="112"/>
      <c r="AT27" s="113"/>
    </row>
    <row r="28" spans="4:46" ht="21" customHeight="1" x14ac:dyDescent="0.15">
      <c r="D28" s="180" t="s">
        <v>185</v>
      </c>
      <c r="E28" s="148">
        <f t="shared" ref="E28:P28" si="0">E3+ROUNDDOWN((E4-10)/2,0)+ROUNDDOWN((E5-10)/2,0)+ROUNDDOWN((E6-10)/2,0)+IF(E7="Y",5,0)+E8*100+E9*3+E10-E11+E12*2+E13+E14+E15+IF(E16="Poor",0,IF(E16="Average",5,IF(E16="Good",10,IF(E16="Excellent",15,-999))))+IF(E17="Y",5,0)+ROUNDDOWN((E18-10)/2,0)+IF(E19="Tiny",10,IF(E19="Small",5,IF(E19="Medium",0,IF(E19="Large",-5,IF(E19="Huge",-10,IF(E19="Gargantuan",-15,-999))))))+E20</f>
        <v>27</v>
      </c>
      <c r="F28" s="105">
        <f t="shared" si="0"/>
        <v>42</v>
      </c>
      <c r="G28" s="105">
        <f t="shared" si="0"/>
        <v>70</v>
      </c>
      <c r="H28" s="105">
        <f t="shared" si="0"/>
        <v>95</v>
      </c>
      <c r="I28" s="152">
        <f t="shared" si="0"/>
        <v>151</v>
      </c>
      <c r="J28" s="105">
        <f t="shared" si="0"/>
        <v>171</v>
      </c>
      <c r="K28" s="105">
        <f t="shared" si="0"/>
        <v>107</v>
      </c>
      <c r="L28" s="148">
        <f t="shared" si="0"/>
        <v>89</v>
      </c>
      <c r="M28" s="105">
        <f t="shared" si="0"/>
        <v>103</v>
      </c>
      <c r="N28" s="105">
        <f t="shared" si="0"/>
        <v>160</v>
      </c>
      <c r="O28" s="148">
        <f t="shared" si="0"/>
        <v>58</v>
      </c>
      <c r="P28" s="105">
        <f t="shared" si="0"/>
        <v>74</v>
      </c>
      <c r="Q28" s="105">
        <f t="shared" ref="Q28:X28" si="1">Q3+ROUNDDOWN((Q4-10)/2,0)+ROUNDDOWN((Q5-10)/2,0)+ROUNDDOWN((Q6-10)/2,0)+IF(Q7="Y",5,0)+Q8*100+Q9*3+Q10-Q11+Q12*2+Q13+Q14+Q15+IF(Q16="Poor",0,IF(Q16="Average",5,IF(Q16="Good",10,IF(Q16="Excellent",15,-999))))+IF(Q17="Y",5,0)+ROUNDDOWN((Q18-10)/2,0)+IF(Q19="Tiny",10,IF(Q19="Small",5,IF(Q19="Medium",0,IF(Q19="Large",-5,IF(Q19="Huge",-10,IF(Q19="Gargantuan",-15,-999))))))+Q20</f>
        <v>103</v>
      </c>
      <c r="R28" s="148">
        <f t="shared" si="1"/>
        <v>69</v>
      </c>
      <c r="S28" s="105">
        <f t="shared" si="1"/>
        <v>75</v>
      </c>
      <c r="T28" s="105">
        <f t="shared" si="1"/>
        <v>134</v>
      </c>
      <c r="U28" s="105">
        <f t="shared" si="1"/>
        <v>77</v>
      </c>
      <c r="V28" s="105">
        <f>V3+ROUNDDOWN((V4-10)/2,0)+ROUNDDOWN((V5-10)/2,0)+ROUNDDOWN((V6-10)/2,0)+IF(V7="Y",5,0)+V8*100+V9*3+V10-V11+V12*2+V13+V14+V15+IF(V16="Poor",0,IF(V16="Average",5,IF(V16="Good",10,IF(V16="Excellent",15,-999))))+IF(V17="Y",5,0)+ROUNDDOWN((V18-10)/2,0)+IF(V19="Tiny",10,IF(V19="Small",5,IF(V19="Medium",0,IF(V19="Large",-5,IF(V19="Huge",-10,IF(V19="Gargantuan",-15,-999))))))+V20</f>
        <v>137</v>
      </c>
      <c r="W28" s="105">
        <f t="shared" si="1"/>
        <v>109</v>
      </c>
      <c r="X28" s="105">
        <f t="shared" si="1"/>
        <v>50</v>
      </c>
      <c r="Y28" s="105">
        <f t="shared" ref="Y28:AI28" si="2">Y3+ROUNDDOWN((Y4-10)/2,0)+ROUNDDOWN((Y5-10)/2,0)+ROUNDDOWN((Y6-10)/2,0)+IF(Y7="Y",5,0)+Y8*100+Y9*3+Y10-Y11+Y12*2+Y13+Y14+Y15+IF(Y16="Poor",0,IF(Y16="Average",5,IF(Y16="Good",10,IF(Y16="Excellent",15,-999))))+IF(Y17="Y",5,0)+ROUNDDOWN((Y18-10)/2,0)+IF(Y19="Tiny",10,IF(Y19="Small",5,IF(Y19="Medium",0,IF(Y19="Large",-5,IF(Y19="Huge",-10,IF(Y19="Gargantuan",-15,-999))))))+Y20</f>
        <v>28</v>
      </c>
      <c r="Z28" s="105">
        <f t="shared" si="2"/>
        <v>44</v>
      </c>
      <c r="AA28" s="105">
        <f t="shared" si="2"/>
        <v>106</v>
      </c>
      <c r="AB28" s="148">
        <f t="shared" si="2"/>
        <v>113</v>
      </c>
      <c r="AC28" s="211">
        <f t="shared" si="2"/>
        <v>130</v>
      </c>
      <c r="AD28" s="210">
        <f t="shared" si="2"/>
        <v>25</v>
      </c>
      <c r="AE28" s="105">
        <f t="shared" si="2"/>
        <v>39</v>
      </c>
      <c r="AF28" s="105">
        <f t="shared" si="2"/>
        <v>62</v>
      </c>
      <c r="AG28" s="105">
        <f t="shared" si="2"/>
        <v>78</v>
      </c>
      <c r="AH28" s="105">
        <f t="shared" si="2"/>
        <v>83</v>
      </c>
      <c r="AI28" s="211">
        <f t="shared" si="2"/>
        <v>112</v>
      </c>
      <c r="AJ28" s="105"/>
      <c r="AK28" s="105">
        <f t="shared" ref="AK28:AT28" si="3">AK3+ROUNDDOWN((AK4-10)/2,0)+ROUNDDOWN((AK5-10)/2,0)+ROUNDDOWN((AK6-10)/2,0)+IF(AK7="Y",5,0)+AK8*100+AK9*2+AK10-AK11+AK12*3+AK13+AK14+AK15+IF(AK16="Poor",0,IF(AK16="Average",5,IF(AK16="Good",10,IF(AK16="Excellent",15,-999))))+IF(AK17="Y",5,0)+ROUNDDOWN((AK18-10)/2,0)+IF(AK19="Tiny",10,IF(AK19="Small",5,IF(AK19="Medium",0,IF(AK19="Large",-5,IF(AK19="Huge",-10,IF(AK19="Gargantuan",-15,-999))))))</f>
        <v>-953</v>
      </c>
      <c r="AL28" s="105">
        <f t="shared" si="3"/>
        <v>-913</v>
      </c>
      <c r="AM28" s="105">
        <f t="shared" si="3"/>
        <v>-906</v>
      </c>
      <c r="AN28" s="105">
        <f t="shared" si="3"/>
        <v>-909</v>
      </c>
      <c r="AO28" s="105">
        <f t="shared" si="3"/>
        <v>-908</v>
      </c>
      <c r="AP28" s="105">
        <f t="shared" si="3"/>
        <v>-956</v>
      </c>
      <c r="AQ28" s="105">
        <f t="shared" si="3"/>
        <v>-932</v>
      </c>
      <c r="AR28" s="105">
        <f t="shared" si="3"/>
        <v>-966</v>
      </c>
      <c r="AS28" s="105">
        <f t="shared" si="3"/>
        <v>-1004</v>
      </c>
      <c r="AT28" s="105">
        <f t="shared" si="3"/>
        <v>-999</v>
      </c>
    </row>
    <row r="29" spans="4:46" ht="21" customHeight="1" thickBot="1" x14ac:dyDescent="0.2">
      <c r="D29" s="180" t="s">
        <v>1</v>
      </c>
      <c r="E29" s="148" t="str">
        <f t="shared" ref="E29:P29" si="4">IF(E28&gt;0,VLOOKUP(E28,tTroopClass,2,TRUE),"")</f>
        <v>Poor</v>
      </c>
      <c r="F29" s="105" t="str">
        <f t="shared" si="4"/>
        <v>Below Average</v>
      </c>
      <c r="G29" s="105" t="str">
        <f t="shared" si="4"/>
        <v>Average</v>
      </c>
      <c r="H29" s="105" t="str">
        <f t="shared" si="4"/>
        <v>Good</v>
      </c>
      <c r="I29" s="152" t="str">
        <f t="shared" si="4"/>
        <v>Elite</v>
      </c>
      <c r="J29" s="105" t="str">
        <f t="shared" si="4"/>
        <v>Elite</v>
      </c>
      <c r="K29" s="105" t="str">
        <f t="shared" si="4"/>
        <v>Excellent</v>
      </c>
      <c r="L29" s="148" t="str">
        <f t="shared" si="4"/>
        <v>Good</v>
      </c>
      <c r="M29" s="105" t="str">
        <f t="shared" si="4"/>
        <v>Excellent</v>
      </c>
      <c r="N29" s="105" t="str">
        <f t="shared" si="4"/>
        <v>Elite</v>
      </c>
      <c r="O29" s="148" t="str">
        <f t="shared" si="4"/>
        <v>Average</v>
      </c>
      <c r="P29" s="105" t="str">
        <f t="shared" si="4"/>
        <v>Fair</v>
      </c>
      <c r="Q29" s="105" t="str">
        <f t="shared" ref="Q29:Y29" si="5">IF(Q28&gt;0,VLOOKUP(Q28,tTroopClass,2,TRUE),"")</f>
        <v>Excellent</v>
      </c>
      <c r="R29" s="148" t="str">
        <f t="shared" si="5"/>
        <v>Average</v>
      </c>
      <c r="S29" s="105" t="str">
        <f t="shared" si="5"/>
        <v>Fair</v>
      </c>
      <c r="T29" s="105" t="str">
        <f t="shared" si="5"/>
        <v>Elite</v>
      </c>
      <c r="U29" s="105" t="str">
        <f t="shared" si="5"/>
        <v>Fair</v>
      </c>
      <c r="V29" s="105" t="str">
        <f>IF(V28&gt;0,VLOOKUP(V28,tTroopClass,2,TRUE),"")</f>
        <v>Elite</v>
      </c>
      <c r="W29" s="105" t="str">
        <f t="shared" si="5"/>
        <v>Excellent</v>
      </c>
      <c r="X29" s="105" t="str">
        <f t="shared" si="5"/>
        <v>Below Average</v>
      </c>
      <c r="Y29" s="105" t="str">
        <f t="shared" si="5"/>
        <v>Poor</v>
      </c>
      <c r="Z29" s="105" t="str">
        <f t="shared" ref="Z29:AI29" si="6">IF(Z28&gt;0,VLOOKUP(Z28,tTroopClass,2,TRUE),"")</f>
        <v>Below Average</v>
      </c>
      <c r="AA29" s="105" t="str">
        <f t="shared" si="6"/>
        <v>Excellent</v>
      </c>
      <c r="AB29" s="148" t="str">
        <f t="shared" si="6"/>
        <v>Excellent</v>
      </c>
      <c r="AC29" s="211" t="str">
        <f t="shared" si="6"/>
        <v>Elite</v>
      </c>
      <c r="AD29" s="210" t="str">
        <f t="shared" si="6"/>
        <v>Poor</v>
      </c>
      <c r="AE29" s="105" t="str">
        <f t="shared" si="6"/>
        <v>Below Average</v>
      </c>
      <c r="AF29" s="105" t="str">
        <f t="shared" si="6"/>
        <v>Average</v>
      </c>
      <c r="AG29" s="105" t="str">
        <f t="shared" si="6"/>
        <v>Fair</v>
      </c>
      <c r="AH29" s="105" t="str">
        <f t="shared" si="6"/>
        <v>Good</v>
      </c>
      <c r="AI29" s="211" t="str">
        <f t="shared" si="6"/>
        <v>Excellent</v>
      </c>
      <c r="AJ29" s="105"/>
      <c r="AK29" s="105" t="str">
        <f t="shared" ref="AK29:AT29" si="7">IF(AK28&gt;0,VLOOKUP(AK28,tTroopClass,2,TRUE),"")</f>
        <v/>
      </c>
      <c r="AL29" s="105" t="str">
        <f t="shared" si="7"/>
        <v/>
      </c>
      <c r="AM29" s="105" t="str">
        <f t="shared" si="7"/>
        <v/>
      </c>
      <c r="AN29" s="105" t="str">
        <f t="shared" si="7"/>
        <v/>
      </c>
      <c r="AO29" s="105" t="str">
        <f t="shared" si="7"/>
        <v/>
      </c>
      <c r="AP29" s="105" t="str">
        <f t="shared" si="7"/>
        <v/>
      </c>
      <c r="AQ29" s="105" t="str">
        <f t="shared" si="7"/>
        <v/>
      </c>
      <c r="AR29" s="105" t="str">
        <f t="shared" si="7"/>
        <v/>
      </c>
      <c r="AS29" s="105" t="str">
        <f t="shared" si="7"/>
        <v/>
      </c>
      <c r="AT29" s="105" t="str">
        <f t="shared" si="7"/>
        <v/>
      </c>
    </row>
    <row r="30" spans="4:46" ht="1.5" customHeight="1" thickBot="1" x14ac:dyDescent="0.2">
      <c r="D30" s="181"/>
      <c r="E30" s="153"/>
      <c r="F30" s="115"/>
      <c r="G30" s="115"/>
      <c r="H30" s="115"/>
      <c r="I30" s="154"/>
      <c r="J30" s="116"/>
      <c r="K30" s="116"/>
      <c r="L30" s="172"/>
      <c r="M30" s="116"/>
      <c r="N30" s="116"/>
      <c r="O30" s="172"/>
      <c r="P30" s="115"/>
      <c r="Q30" s="116"/>
      <c r="R30" s="172"/>
      <c r="S30" s="116"/>
      <c r="T30" s="116"/>
      <c r="U30" s="116"/>
      <c r="V30" s="116"/>
      <c r="W30" s="116"/>
      <c r="X30" s="116"/>
      <c r="Y30" s="116"/>
      <c r="Z30" s="116"/>
      <c r="AA30" s="116"/>
      <c r="AB30" s="172"/>
      <c r="AC30" s="215"/>
      <c r="AD30" s="214"/>
      <c r="AE30" s="116"/>
      <c r="AF30" s="116"/>
      <c r="AG30" s="116"/>
      <c r="AH30" s="116"/>
      <c r="AI30" s="215"/>
      <c r="AJ30" s="116"/>
      <c r="AK30" s="116"/>
      <c r="AL30" s="116"/>
      <c r="AM30" s="116"/>
      <c r="AN30" s="116"/>
      <c r="AO30" s="116"/>
      <c r="AP30" s="116"/>
      <c r="AQ30" s="116"/>
      <c r="AR30" s="116"/>
      <c r="AS30" s="116"/>
      <c r="AT30" s="116"/>
    </row>
    <row r="31" spans="4:46" ht="1.5" customHeight="1" thickBot="1" x14ac:dyDescent="0.2">
      <c r="D31" s="181"/>
      <c r="E31" s="153"/>
      <c r="F31" s="115"/>
      <c r="G31" s="115"/>
      <c r="H31" s="115"/>
      <c r="I31" s="154"/>
      <c r="J31" s="116"/>
      <c r="K31" s="116"/>
      <c r="L31" s="172"/>
      <c r="M31" s="116"/>
      <c r="N31" s="116"/>
      <c r="O31" s="172"/>
      <c r="P31" s="115"/>
      <c r="Q31" s="116"/>
      <c r="R31" s="172"/>
      <c r="S31" s="116"/>
      <c r="T31" s="116"/>
      <c r="U31" s="116"/>
      <c r="V31" s="116"/>
      <c r="W31" s="116"/>
      <c r="X31" s="116"/>
      <c r="Y31" s="116"/>
      <c r="Z31" s="116"/>
      <c r="AA31" s="116"/>
      <c r="AB31" s="172"/>
      <c r="AC31" s="215"/>
      <c r="AD31" s="214"/>
      <c r="AE31" s="116"/>
      <c r="AF31" s="116"/>
      <c r="AG31" s="116"/>
      <c r="AH31" s="116"/>
      <c r="AI31" s="215"/>
      <c r="AJ31" s="116"/>
      <c r="AK31" s="116"/>
      <c r="AL31" s="116"/>
      <c r="AM31" s="116"/>
      <c r="AN31" s="116"/>
      <c r="AO31" s="116"/>
      <c r="AP31" s="116"/>
      <c r="AQ31" s="116"/>
      <c r="AR31" s="116"/>
      <c r="AS31" s="116"/>
      <c r="AT31" s="116"/>
    </row>
    <row r="32" spans="4:46" ht="21" customHeight="1" x14ac:dyDescent="0.15">
      <c r="D32" s="182" t="s">
        <v>187</v>
      </c>
      <c r="E32" s="155">
        <v>0</v>
      </c>
      <c r="F32" s="117">
        <v>0</v>
      </c>
      <c r="G32" s="117">
        <v>0</v>
      </c>
      <c r="H32" s="117">
        <v>0</v>
      </c>
      <c r="I32" s="156">
        <v>0</v>
      </c>
      <c r="J32" s="117">
        <v>0</v>
      </c>
      <c r="K32" s="117">
        <v>0</v>
      </c>
      <c r="L32" s="267">
        <v>1</v>
      </c>
      <c r="M32" s="265">
        <v>1</v>
      </c>
      <c r="N32" s="265">
        <v>1</v>
      </c>
      <c r="O32" s="155">
        <v>0</v>
      </c>
      <c r="P32" s="117">
        <v>0</v>
      </c>
      <c r="Q32" s="265">
        <v>1</v>
      </c>
      <c r="R32" s="155">
        <v>0</v>
      </c>
      <c r="S32" s="117">
        <v>0</v>
      </c>
      <c r="T32" s="265">
        <v>1</v>
      </c>
      <c r="U32" s="117">
        <v>0</v>
      </c>
      <c r="V32" s="265">
        <v>1</v>
      </c>
      <c r="W32" s="117">
        <v>0</v>
      </c>
      <c r="X32" s="117">
        <v>0</v>
      </c>
      <c r="Y32" s="117">
        <v>0</v>
      </c>
      <c r="Z32" s="117">
        <v>0</v>
      </c>
      <c r="AA32" s="117">
        <v>0</v>
      </c>
      <c r="AB32" s="155">
        <v>0</v>
      </c>
      <c r="AC32" s="217">
        <v>0</v>
      </c>
      <c r="AD32" s="216">
        <v>0</v>
      </c>
      <c r="AE32" s="117">
        <v>0</v>
      </c>
      <c r="AF32" s="117">
        <v>0</v>
      </c>
      <c r="AG32" s="117">
        <v>0</v>
      </c>
      <c r="AH32" s="117">
        <v>0</v>
      </c>
      <c r="AI32" s="217">
        <v>0</v>
      </c>
      <c r="AJ32" s="117"/>
      <c r="AK32" s="117">
        <v>0</v>
      </c>
      <c r="AL32" s="117">
        <v>0</v>
      </c>
      <c r="AM32" s="117">
        <v>0</v>
      </c>
      <c r="AN32" s="117">
        <v>0</v>
      </c>
      <c r="AO32" s="117">
        <v>0</v>
      </c>
      <c r="AP32" s="117">
        <v>0</v>
      </c>
      <c r="AQ32" s="117">
        <v>0</v>
      </c>
      <c r="AR32" s="117">
        <v>0</v>
      </c>
      <c r="AS32" s="117">
        <v>0</v>
      </c>
      <c r="AT32" s="117">
        <v>0</v>
      </c>
    </row>
    <row r="33" spans="4:46" ht="21" customHeight="1" x14ac:dyDescent="0.15">
      <c r="D33" s="183" t="s">
        <v>188</v>
      </c>
      <c r="E33" s="157">
        <v>0</v>
      </c>
      <c r="F33" s="118">
        <v>0</v>
      </c>
      <c r="G33" s="118">
        <v>0.05</v>
      </c>
      <c r="H33" s="118">
        <v>0.05</v>
      </c>
      <c r="I33" s="158">
        <v>0</v>
      </c>
      <c r="J33" s="118">
        <v>0</v>
      </c>
      <c r="K33" s="118">
        <v>0</v>
      </c>
      <c r="L33" s="157">
        <v>0</v>
      </c>
      <c r="M33" s="266">
        <v>1</v>
      </c>
      <c r="N33" s="266">
        <v>1</v>
      </c>
      <c r="O33" s="157">
        <v>0</v>
      </c>
      <c r="P33" s="118">
        <v>0</v>
      </c>
      <c r="Q33" s="266">
        <v>1</v>
      </c>
      <c r="R33" s="157">
        <v>0</v>
      </c>
      <c r="S33" s="118">
        <v>0</v>
      </c>
      <c r="T33" s="266">
        <v>1</v>
      </c>
      <c r="U33" s="118">
        <v>1</v>
      </c>
      <c r="V33" s="266">
        <v>1</v>
      </c>
      <c r="W33" s="118">
        <v>0</v>
      </c>
      <c r="X33" s="118">
        <v>0</v>
      </c>
      <c r="Y33" s="118">
        <v>0</v>
      </c>
      <c r="Z33" s="118">
        <v>0</v>
      </c>
      <c r="AA33" s="118">
        <v>0</v>
      </c>
      <c r="AB33" s="157">
        <v>0</v>
      </c>
      <c r="AC33" s="219">
        <v>0</v>
      </c>
      <c r="AD33" s="218">
        <v>0</v>
      </c>
      <c r="AE33" s="118">
        <v>0</v>
      </c>
      <c r="AF33" s="118">
        <v>0</v>
      </c>
      <c r="AG33" s="118">
        <v>0</v>
      </c>
      <c r="AH33" s="118">
        <v>0</v>
      </c>
      <c r="AI33" s="219">
        <v>0</v>
      </c>
      <c r="AJ33" s="118"/>
      <c r="AK33" s="118">
        <v>0</v>
      </c>
      <c r="AL33" s="118">
        <v>0</v>
      </c>
      <c r="AM33" s="118">
        <v>0</v>
      </c>
      <c r="AN33" s="118">
        <v>0</v>
      </c>
      <c r="AO33" s="118">
        <v>0</v>
      </c>
      <c r="AP33" s="118">
        <v>0</v>
      </c>
      <c r="AQ33" s="118">
        <v>0</v>
      </c>
      <c r="AR33" s="118">
        <v>0</v>
      </c>
      <c r="AS33" s="118">
        <v>0</v>
      </c>
      <c r="AT33" s="118">
        <v>0</v>
      </c>
    </row>
    <row r="34" spans="4:46" ht="21" customHeight="1" x14ac:dyDescent="0.15">
      <c r="D34" s="183" t="s">
        <v>189</v>
      </c>
      <c r="E34" s="157">
        <v>0</v>
      </c>
      <c r="F34" s="118">
        <v>0</v>
      </c>
      <c r="G34" s="118">
        <v>0</v>
      </c>
      <c r="H34" s="118">
        <v>0.05</v>
      </c>
      <c r="I34" s="158">
        <v>0</v>
      </c>
      <c r="J34" s="118">
        <v>0</v>
      </c>
      <c r="K34" s="118">
        <v>0</v>
      </c>
      <c r="L34" s="157">
        <v>0</v>
      </c>
      <c r="M34" s="266">
        <v>1</v>
      </c>
      <c r="N34" s="266">
        <v>1</v>
      </c>
      <c r="O34" s="157">
        <v>0</v>
      </c>
      <c r="P34" s="118">
        <v>0</v>
      </c>
      <c r="Q34" s="266">
        <v>1</v>
      </c>
      <c r="R34" s="157">
        <v>0</v>
      </c>
      <c r="S34" s="118">
        <v>0</v>
      </c>
      <c r="T34" s="266">
        <v>1</v>
      </c>
      <c r="U34" s="118">
        <v>1</v>
      </c>
      <c r="V34" s="266">
        <v>1</v>
      </c>
      <c r="W34" s="118">
        <v>0</v>
      </c>
      <c r="X34" s="118">
        <v>0</v>
      </c>
      <c r="Y34" s="118">
        <v>0</v>
      </c>
      <c r="Z34" s="118">
        <v>0</v>
      </c>
      <c r="AA34" s="118">
        <v>0</v>
      </c>
      <c r="AB34" s="157">
        <v>0</v>
      </c>
      <c r="AC34" s="219">
        <v>0</v>
      </c>
      <c r="AD34" s="218">
        <v>0</v>
      </c>
      <c r="AE34" s="118">
        <v>0</v>
      </c>
      <c r="AF34" s="118">
        <v>0</v>
      </c>
      <c r="AG34" s="118">
        <v>0</v>
      </c>
      <c r="AH34" s="118">
        <v>0</v>
      </c>
      <c r="AI34" s="219">
        <v>0</v>
      </c>
      <c r="AJ34" s="118"/>
      <c r="AK34" s="118">
        <v>0</v>
      </c>
      <c r="AL34" s="118">
        <v>0</v>
      </c>
      <c r="AM34" s="118">
        <v>0</v>
      </c>
      <c r="AN34" s="118">
        <v>0</v>
      </c>
      <c r="AO34" s="118">
        <v>0</v>
      </c>
      <c r="AP34" s="118">
        <v>0</v>
      </c>
      <c r="AQ34" s="118">
        <v>0</v>
      </c>
      <c r="AR34" s="118">
        <v>0</v>
      </c>
      <c r="AS34" s="118">
        <v>0</v>
      </c>
      <c r="AT34" s="118">
        <v>0</v>
      </c>
    </row>
    <row r="35" spans="4:46" ht="21" customHeight="1" x14ac:dyDescent="0.15">
      <c r="D35" s="183" t="s">
        <v>190</v>
      </c>
      <c r="E35" s="157">
        <v>0</v>
      </c>
      <c r="F35" s="118">
        <v>0</v>
      </c>
      <c r="G35" s="118">
        <v>0</v>
      </c>
      <c r="H35" s="118">
        <v>0</v>
      </c>
      <c r="I35" s="158">
        <v>0.01</v>
      </c>
      <c r="J35" s="118">
        <v>1</v>
      </c>
      <c r="K35" s="118">
        <v>0</v>
      </c>
      <c r="L35" s="157">
        <v>0</v>
      </c>
      <c r="M35" s="266">
        <v>1</v>
      </c>
      <c r="N35" s="266">
        <v>1</v>
      </c>
      <c r="O35" s="157">
        <v>0</v>
      </c>
      <c r="P35" s="118">
        <v>1</v>
      </c>
      <c r="Q35" s="118">
        <v>1</v>
      </c>
      <c r="R35" s="157">
        <v>0</v>
      </c>
      <c r="S35" s="118">
        <v>0</v>
      </c>
      <c r="T35" s="118">
        <v>0</v>
      </c>
      <c r="U35" s="118">
        <v>0</v>
      </c>
      <c r="V35" s="118">
        <v>0</v>
      </c>
      <c r="W35" s="118">
        <v>0</v>
      </c>
      <c r="X35" s="118">
        <v>0</v>
      </c>
      <c r="Y35" s="118">
        <v>0</v>
      </c>
      <c r="Z35" s="118">
        <v>0</v>
      </c>
      <c r="AA35" s="118">
        <v>1</v>
      </c>
      <c r="AB35" s="157">
        <v>0</v>
      </c>
      <c r="AC35" s="219">
        <v>0</v>
      </c>
      <c r="AD35" s="218">
        <v>0</v>
      </c>
      <c r="AE35" s="118">
        <v>0.1</v>
      </c>
      <c r="AF35" s="118">
        <v>0.1</v>
      </c>
      <c r="AG35" s="118">
        <v>1</v>
      </c>
      <c r="AH35" s="118">
        <v>1</v>
      </c>
      <c r="AI35" s="219">
        <v>1</v>
      </c>
      <c r="AJ35" s="118"/>
      <c r="AK35" s="118">
        <v>0</v>
      </c>
      <c r="AL35" s="118">
        <v>0</v>
      </c>
      <c r="AM35" s="118">
        <v>0</v>
      </c>
      <c r="AN35" s="118">
        <v>0</v>
      </c>
      <c r="AO35" s="118">
        <v>0</v>
      </c>
      <c r="AP35" s="118">
        <v>0</v>
      </c>
      <c r="AQ35" s="118">
        <v>0</v>
      </c>
      <c r="AR35" s="118">
        <v>0</v>
      </c>
      <c r="AS35" s="118">
        <v>0</v>
      </c>
      <c r="AT35" s="118">
        <v>0</v>
      </c>
    </row>
    <row r="36" spans="4:46" ht="21" customHeight="1" x14ac:dyDescent="0.15">
      <c r="D36" s="183" t="s">
        <v>191</v>
      </c>
      <c r="E36" s="157">
        <v>0</v>
      </c>
      <c r="F36" s="118">
        <v>0</v>
      </c>
      <c r="G36" s="118">
        <v>0</v>
      </c>
      <c r="H36" s="118">
        <v>0</v>
      </c>
      <c r="I36" s="158">
        <v>0</v>
      </c>
      <c r="J36" s="118">
        <v>0</v>
      </c>
      <c r="K36" s="118">
        <v>0</v>
      </c>
      <c r="L36" s="157">
        <v>0</v>
      </c>
      <c r="M36" s="118">
        <v>0</v>
      </c>
      <c r="N36" s="118">
        <v>0</v>
      </c>
      <c r="O36" s="157">
        <v>0</v>
      </c>
      <c r="P36" s="118">
        <v>0</v>
      </c>
      <c r="Q36" s="118">
        <v>0</v>
      </c>
      <c r="R36" s="157">
        <v>0</v>
      </c>
      <c r="S36" s="118">
        <v>0</v>
      </c>
      <c r="T36" s="118">
        <v>0</v>
      </c>
      <c r="U36" s="118">
        <v>0</v>
      </c>
      <c r="V36" s="118">
        <v>0</v>
      </c>
      <c r="W36" s="118">
        <v>0</v>
      </c>
      <c r="X36" s="118">
        <v>0</v>
      </c>
      <c r="Y36" s="118">
        <v>0</v>
      </c>
      <c r="Z36" s="118">
        <v>0</v>
      </c>
      <c r="AA36" s="118">
        <v>0</v>
      </c>
      <c r="AB36" s="157">
        <v>0</v>
      </c>
      <c r="AC36" s="219">
        <v>0</v>
      </c>
      <c r="AD36" s="218">
        <v>0</v>
      </c>
      <c r="AE36" s="118">
        <v>0</v>
      </c>
      <c r="AF36" s="118">
        <v>0</v>
      </c>
      <c r="AG36" s="118">
        <v>0</v>
      </c>
      <c r="AH36" s="118">
        <v>0</v>
      </c>
      <c r="AI36" s="219">
        <v>0</v>
      </c>
      <c r="AJ36" s="118"/>
      <c r="AK36" s="118">
        <v>0</v>
      </c>
      <c r="AL36" s="118">
        <v>0</v>
      </c>
      <c r="AM36" s="118">
        <v>0</v>
      </c>
      <c r="AN36" s="118">
        <v>0</v>
      </c>
      <c r="AO36" s="118">
        <v>0</v>
      </c>
      <c r="AP36" s="118">
        <v>0</v>
      </c>
      <c r="AQ36" s="118">
        <v>0</v>
      </c>
      <c r="AR36" s="118">
        <v>0</v>
      </c>
      <c r="AS36" s="118">
        <v>0</v>
      </c>
      <c r="AT36" s="118">
        <v>0</v>
      </c>
    </row>
    <row r="37" spans="4:46" ht="21" customHeight="1" thickBot="1" x14ac:dyDescent="0.2">
      <c r="D37" s="184" t="s">
        <v>192</v>
      </c>
      <c r="E37" s="159">
        <v>0</v>
      </c>
      <c r="F37" s="119">
        <v>0</v>
      </c>
      <c r="G37" s="119">
        <v>1</v>
      </c>
      <c r="H37" s="119">
        <v>0</v>
      </c>
      <c r="I37" s="160">
        <v>0</v>
      </c>
      <c r="J37" s="119">
        <v>0</v>
      </c>
      <c r="K37" s="119">
        <v>0</v>
      </c>
      <c r="L37" s="159">
        <v>0</v>
      </c>
      <c r="M37" s="119">
        <v>0</v>
      </c>
      <c r="N37" s="119">
        <v>0</v>
      </c>
      <c r="O37" s="159">
        <v>0</v>
      </c>
      <c r="P37" s="119">
        <v>0</v>
      </c>
      <c r="Q37" s="119">
        <v>0</v>
      </c>
      <c r="R37" s="159">
        <v>0</v>
      </c>
      <c r="S37" s="119">
        <v>0</v>
      </c>
      <c r="T37" s="119">
        <v>0</v>
      </c>
      <c r="U37" s="119">
        <v>0</v>
      </c>
      <c r="V37" s="119">
        <v>0</v>
      </c>
      <c r="W37" s="119">
        <v>0</v>
      </c>
      <c r="X37" s="119">
        <v>0</v>
      </c>
      <c r="Y37" s="119">
        <v>0</v>
      </c>
      <c r="Z37" s="119">
        <v>0</v>
      </c>
      <c r="AA37" s="119">
        <v>0</v>
      </c>
      <c r="AB37" s="159">
        <v>0.01</v>
      </c>
      <c r="AC37" s="221">
        <v>0.05</v>
      </c>
      <c r="AD37" s="220">
        <v>0</v>
      </c>
      <c r="AE37" s="119">
        <v>0</v>
      </c>
      <c r="AF37" s="119">
        <v>0</v>
      </c>
      <c r="AG37" s="119">
        <v>0</v>
      </c>
      <c r="AH37" s="119">
        <v>0</v>
      </c>
      <c r="AI37" s="221">
        <v>0</v>
      </c>
      <c r="AJ37" s="119"/>
      <c r="AK37" s="119">
        <v>0</v>
      </c>
      <c r="AL37" s="119">
        <v>0</v>
      </c>
      <c r="AM37" s="119">
        <v>0</v>
      </c>
      <c r="AN37" s="119">
        <v>0</v>
      </c>
      <c r="AO37" s="119">
        <v>0</v>
      </c>
      <c r="AP37" s="119">
        <v>0</v>
      </c>
      <c r="AQ37" s="119">
        <v>0</v>
      </c>
      <c r="AR37" s="119">
        <v>0</v>
      </c>
      <c r="AS37" s="119">
        <v>0</v>
      </c>
      <c r="AT37" s="119">
        <v>0</v>
      </c>
    </row>
    <row r="38" spans="4:46" ht="1.5" customHeight="1" thickTop="1" thickBot="1" x14ac:dyDescent="0.2">
      <c r="D38" s="179"/>
      <c r="E38" s="150"/>
      <c r="F38" s="110"/>
      <c r="G38" s="110"/>
      <c r="H38" s="110"/>
      <c r="I38" s="151"/>
      <c r="J38" s="111"/>
      <c r="K38" s="111"/>
      <c r="L38" s="171"/>
      <c r="M38" s="111"/>
      <c r="N38" s="111"/>
      <c r="O38" s="171"/>
      <c r="P38" s="110"/>
      <c r="Q38" s="111"/>
      <c r="R38" s="171"/>
      <c r="S38" s="111"/>
      <c r="T38" s="111"/>
      <c r="U38" s="111"/>
      <c r="V38" s="111"/>
      <c r="W38" s="111"/>
      <c r="X38" s="111"/>
      <c r="Y38" s="111"/>
      <c r="Z38" s="111"/>
      <c r="AA38" s="111"/>
      <c r="AB38" s="171"/>
      <c r="AC38" s="213"/>
      <c r="AD38" s="212"/>
      <c r="AE38" s="111"/>
      <c r="AF38" s="111"/>
      <c r="AG38" s="111"/>
      <c r="AH38" s="111"/>
      <c r="AI38" s="213"/>
      <c r="AJ38" s="111"/>
      <c r="AK38" s="111"/>
      <c r="AL38" s="111"/>
      <c r="AM38" s="111"/>
      <c r="AN38" s="111"/>
      <c r="AO38" s="111"/>
      <c r="AP38" s="111"/>
      <c r="AQ38" s="111"/>
      <c r="AR38" s="111"/>
      <c r="AS38" s="111"/>
      <c r="AT38" s="111"/>
    </row>
    <row r="39" spans="4:46" ht="1.5" customHeight="1" thickBot="1" x14ac:dyDescent="0.2">
      <c r="D39" s="179"/>
      <c r="E39" s="150"/>
      <c r="F39" s="110"/>
      <c r="G39" s="110"/>
      <c r="H39" s="110"/>
      <c r="I39" s="151"/>
      <c r="J39" s="111"/>
      <c r="K39" s="111"/>
      <c r="L39" s="171"/>
      <c r="M39" s="111"/>
      <c r="N39" s="111"/>
      <c r="O39" s="171"/>
      <c r="P39" s="110"/>
      <c r="Q39" s="111"/>
      <c r="R39" s="171"/>
      <c r="S39" s="111"/>
      <c r="T39" s="111"/>
      <c r="U39" s="111"/>
      <c r="V39" s="111"/>
      <c r="W39" s="111"/>
      <c r="X39" s="111"/>
      <c r="Y39" s="111"/>
      <c r="Z39" s="111"/>
      <c r="AA39" s="111"/>
      <c r="AB39" s="171"/>
      <c r="AC39" s="213"/>
      <c r="AD39" s="212"/>
      <c r="AE39" s="111"/>
      <c r="AF39" s="111"/>
      <c r="AG39" s="111"/>
      <c r="AH39" s="111"/>
      <c r="AI39" s="213"/>
      <c r="AJ39" s="111"/>
      <c r="AK39" s="111"/>
      <c r="AL39" s="111"/>
      <c r="AM39" s="111"/>
      <c r="AN39" s="111"/>
      <c r="AO39" s="111"/>
      <c r="AP39" s="111"/>
      <c r="AQ39" s="111"/>
      <c r="AR39" s="111"/>
      <c r="AS39" s="111"/>
      <c r="AT39" s="111"/>
    </row>
    <row r="40" spans="4:46" ht="21" customHeight="1" thickBot="1" x14ac:dyDescent="0.2">
      <c r="D40" s="185" t="s">
        <v>260</v>
      </c>
      <c r="E40" s="161">
        <f>ROUNDDOWN(E28*(1+IF(E32&gt;=0.5,0.2,IF(E32&gt;=0.2,0.1,0))+IF(E33&gt;=0.2,0.1,0)+IF(E34&gt;=0.2,0.1,0)+IF(E35&gt;=1,0.3,IF(E35&gt;=0.2,0.2,IF(E35&gt;=0.01,0.1,0)))+IF(E36&gt;=0.3,0.2,IF(E36&gt;=0.05,0.1,0))+IF(E37&gt;=0.2,0.2,IF(E37&gt;=0.01,0.1,0))),0)</f>
        <v>27</v>
      </c>
      <c r="F40" s="106">
        <f t="shared" ref="F40:AI40" si="8">ROUNDDOWN(F28*(1+IF(F32&gt;=0.5,0.2,IF(F32&gt;=0.2,0.1,0))+IF(F33&gt;=0.2,0.1,0)+IF(F34&gt;=0.2,0.1,0)+IF(F35&gt;=1,0.3,IF(F35&gt;=0.2,0.2,IF(F35&gt;=0.01,0.1,0)))+IF(F36&gt;=0.3,0.2,IF(F36&gt;=0.05,0.1,0))+IF(F37&gt;=0.2,0.2,IF(F37&gt;=0.01,0.1,0))),0)</f>
        <v>42</v>
      </c>
      <c r="G40" s="106">
        <f t="shared" si="8"/>
        <v>84</v>
      </c>
      <c r="H40" s="106">
        <f t="shared" si="8"/>
        <v>95</v>
      </c>
      <c r="I40" s="162">
        <f t="shared" si="8"/>
        <v>166</v>
      </c>
      <c r="J40" s="106">
        <f>ROUNDDOWN(J28*(1+IF(J32&gt;=0.5,0.2,IF(J32&gt;=0.2,0.1,0))+IF(J33&gt;=0.2,0.1,0)+IF(J34&gt;=0.2,0.1,0)+IF(J35&gt;=1,0.3,IF(J35&gt;=0.2,0.2,IF(J35&gt;=0.01,0.1,0)))+IF(J36&gt;=0.3,0.2,IF(J36&gt;=0.05,0.1,0))+IF(J37&gt;=0.2,0.2,IF(J37&gt;=0.01,0.1,0))),0)</f>
        <v>222</v>
      </c>
      <c r="K40" s="106">
        <f>ROUNDDOWN(K28*(1+IF(K32&gt;=0.5,0.2,IF(K32&gt;=0.2,0.1,0))+IF(K33&gt;=0.2,0.1,0)+IF(K34&gt;=0.2,0.1,0)+IF(K35&gt;=1,0.3,IF(K35&gt;=0.2,0.2,IF(K35&gt;=0.01,0.1,0)))+IF(K36&gt;=0.3,0.2,IF(K36&gt;=0.05,0.1,0))+IF(K37&gt;=0.2,0.2,IF(K37&gt;=0.01,0.1,0))),0)</f>
        <v>107</v>
      </c>
      <c r="L40" s="161">
        <f t="shared" si="8"/>
        <v>106</v>
      </c>
      <c r="M40" s="106">
        <f t="shared" si="8"/>
        <v>175</v>
      </c>
      <c r="N40" s="106">
        <f t="shared" si="8"/>
        <v>272</v>
      </c>
      <c r="O40" s="161">
        <f>ROUNDDOWN(O28*(1+IF(O32&gt;=0.5,0.2,IF(O32&gt;=0.2,0.1,0))+IF(O33&gt;=0.2,0.1,0)+IF(O34&gt;=0.2,0.1,0)+IF(O35&gt;=1,0.3,IF(O35&gt;=0.2,0.2,IF(O35&gt;=0.01,0.1,0)))+IF(O36&gt;=0.3,0.2,IF(O36&gt;=0.05,0.1,0))+IF(O37&gt;=0.2,0.2,IF(O37&gt;=0.01,0.1,0))),0)</f>
        <v>58</v>
      </c>
      <c r="P40" s="106">
        <f>ROUNDDOWN(P28*(1+IF(P32&gt;=0.5,0.2,IF(P32&gt;=0.2,0.1,0))+IF(P33&gt;=0.2,0.1,0)+IF(P34&gt;=0.2,0.1,0)+IF(P35&gt;=1,0.3,IF(P35&gt;=0.2,0.2,IF(P35&gt;=0.01,0.1,0)))+IF(P36&gt;=0.3,0.2,IF(P36&gt;=0.05,0.1,0))+IF(P37&gt;=0.2,0.2,IF(P37&gt;=0.01,0.1,0))),0)</f>
        <v>96</v>
      </c>
      <c r="Q40" s="106">
        <f t="shared" ref="Q40:X40" si="9">ROUNDDOWN(Q28*(1+IF(Q32&gt;=0.5,0.2,IF(Q32&gt;=0.2,0.1,0))+IF(Q33&gt;=0.2,0.1,0)+IF(Q34&gt;=0.2,0.1,0)+IF(Q35&gt;=1,0.3,IF(Q35&gt;=0.2,0.2,IF(Q35&gt;=0.01,0.1,0)))+IF(Q36&gt;=0.3,0.2,IF(Q36&gt;=0.05,0.1,0))+IF(Q37&gt;=0.2,0.2,IF(Q37&gt;=0.01,0.1,0))),0)</f>
        <v>175</v>
      </c>
      <c r="R40" s="161">
        <f t="shared" si="9"/>
        <v>69</v>
      </c>
      <c r="S40" s="106">
        <f t="shared" si="9"/>
        <v>75</v>
      </c>
      <c r="T40" s="106">
        <f t="shared" si="9"/>
        <v>187</v>
      </c>
      <c r="U40" s="106">
        <f t="shared" si="9"/>
        <v>92</v>
      </c>
      <c r="V40" s="106">
        <f>ROUNDDOWN(V28*(1+IF(V32&gt;=0.5,0.2,IF(V32&gt;=0.2,0.1,0))+IF(V33&gt;=0.2,0.1,0)+IF(V34&gt;=0.2,0.1,0)+IF(V35&gt;=1,0.3,IF(V35&gt;=0.2,0.2,IF(V35&gt;=0.01,0.1,0)))+IF(V36&gt;=0.3,0.2,IF(V36&gt;=0.05,0.1,0))+IF(V37&gt;=0.2,0.2,IF(V37&gt;=0.01,0.1,0))),0)</f>
        <v>191</v>
      </c>
      <c r="W40" s="106">
        <f t="shared" si="9"/>
        <v>109</v>
      </c>
      <c r="X40" s="106">
        <f t="shared" si="9"/>
        <v>50</v>
      </c>
      <c r="Y40" s="106">
        <f>ROUNDDOWN(Y28*(1+IF(Y32&gt;=0.5,0.2,IF(Y32&gt;=0.2,0.1,0))+IF(Y33&gt;=0.2,0.1,0)+IF(Y34&gt;=0.2,0.1,0)+IF(Y35&gt;=1,0.3,IF(Y35&gt;=0.2,0.2,IF(Y35&gt;=0.01,0.1,0)))+IF(Y36&gt;=0.3,0.2,IF(Y36&gt;=0.05,0.1,0))+IF(Y37&gt;=0.2,0.2,IF(Y37&gt;=0.01,0.1,0))),0)</f>
        <v>28</v>
      </c>
      <c r="Z40" s="106">
        <f>ROUNDDOWN(Z28*(1+IF(Z32&gt;=0.5,0.2,IF(Z32&gt;=0.2,0.1,0))+IF(Z33&gt;=0.2,0.1,0)+IF(Z34&gt;=0.2,0.1,0)+IF(Z35&gt;=1,0.3,IF(Z35&gt;=0.2,0.2,IF(Z35&gt;=0.01,0.1,0)))+IF(Z36&gt;=0.3,0.2,IF(Z36&gt;=0.05,0.1,0))+IF(Z37&gt;=0.2,0.2,IF(Z37&gt;=0.01,0.1,0))),0)</f>
        <v>44</v>
      </c>
      <c r="AA40" s="106">
        <f>ROUNDDOWN(AA28*(1+IF(AA32&gt;=0.5,0.2,IF(AA32&gt;=0.2,0.1,0))+IF(AA33&gt;=0.2,0.1,0)+IF(AA34&gt;=0.2,0.1,0)+IF(AA35&gt;=1,0.3,IF(AA35&gt;=0.2,0.2,IF(AA35&gt;=0.01,0.1,0)))+IF(AA36&gt;=0.3,0.2,IF(AA36&gt;=0.05,0.1,0))+IF(AA37&gt;=0.2,0.2,IF(AA37&gt;=0.01,0.1,0))),0)</f>
        <v>137</v>
      </c>
      <c r="AB40" s="161">
        <f t="shared" si="8"/>
        <v>124</v>
      </c>
      <c r="AC40" s="223">
        <f t="shared" si="8"/>
        <v>143</v>
      </c>
      <c r="AD40" s="222">
        <f t="shared" si="8"/>
        <v>25</v>
      </c>
      <c r="AE40" s="106">
        <f t="shared" si="8"/>
        <v>42</v>
      </c>
      <c r="AF40" s="106">
        <f t="shared" si="8"/>
        <v>68</v>
      </c>
      <c r="AG40" s="106">
        <f t="shared" si="8"/>
        <v>101</v>
      </c>
      <c r="AH40" s="106">
        <f t="shared" si="8"/>
        <v>107</v>
      </c>
      <c r="AI40" s="223">
        <f t="shared" si="8"/>
        <v>145</v>
      </c>
      <c r="AJ40" s="106"/>
      <c r="AK40" s="106">
        <f t="shared" ref="AK40:AT40" si="10">AK28*(1+IF(AK32&gt;=0.5,0.2,IF(AK32&gt;=0.2,0.1,0))+IF(AK33&gt;=0.2,0.1,0)+IF(AK34&gt;=0.2,0.1,0)+IF(AK35&gt;=1,0.3,IF(AK35&gt;=0.2,0.2,IF(AK35&gt;=0.01,0.1,0)))+IF(AK36&gt;=0.3,0.2,IF(AK36&gt;=0.05,0.1,0))+IF(AK37&gt;=0.2,0.2,IF(AK37&gt;=0.01,0.1,0)))</f>
        <v>-953</v>
      </c>
      <c r="AL40" s="106">
        <f t="shared" si="10"/>
        <v>-913</v>
      </c>
      <c r="AM40" s="106">
        <f t="shared" si="10"/>
        <v>-906</v>
      </c>
      <c r="AN40" s="106">
        <f t="shared" si="10"/>
        <v>-909</v>
      </c>
      <c r="AO40" s="106">
        <f t="shared" si="10"/>
        <v>-908</v>
      </c>
      <c r="AP40" s="106">
        <f t="shared" si="10"/>
        <v>-956</v>
      </c>
      <c r="AQ40" s="106">
        <f t="shared" si="10"/>
        <v>-932</v>
      </c>
      <c r="AR40" s="106">
        <f t="shared" si="10"/>
        <v>-966</v>
      </c>
      <c r="AS40" s="106">
        <f t="shared" si="10"/>
        <v>-1004</v>
      </c>
      <c r="AT40" s="106">
        <f t="shared" si="10"/>
        <v>-999</v>
      </c>
    </row>
    <row r="41" spans="4:46" ht="1.5" customHeight="1" thickBot="1" x14ac:dyDescent="0.2">
      <c r="D41" s="179"/>
      <c r="E41" s="150"/>
      <c r="F41" s="110"/>
      <c r="G41" s="110"/>
      <c r="H41" s="110"/>
      <c r="I41" s="151"/>
      <c r="J41" s="111"/>
      <c r="K41" s="111"/>
      <c r="L41" s="171"/>
      <c r="M41" s="111"/>
      <c r="N41" s="111"/>
      <c r="O41" s="171"/>
      <c r="P41" s="110"/>
      <c r="Q41" s="111"/>
      <c r="R41" s="171"/>
      <c r="S41" s="111"/>
      <c r="T41" s="111"/>
      <c r="U41" s="111"/>
      <c r="V41" s="111"/>
      <c r="W41" s="111"/>
      <c r="X41" s="111"/>
      <c r="Y41" s="111"/>
      <c r="Z41" s="111"/>
      <c r="AA41" s="111"/>
      <c r="AB41" s="171"/>
      <c r="AC41" s="213"/>
      <c r="AD41" s="212"/>
      <c r="AE41" s="111"/>
      <c r="AF41" s="111"/>
      <c r="AG41" s="111"/>
      <c r="AH41" s="111"/>
      <c r="AI41" s="213"/>
      <c r="AJ41" s="111"/>
      <c r="AK41" s="111"/>
      <c r="AL41" s="111"/>
      <c r="AM41" s="111"/>
      <c r="AN41" s="111"/>
      <c r="AO41" s="111"/>
      <c r="AP41" s="111"/>
      <c r="AQ41" s="111"/>
      <c r="AR41" s="111"/>
      <c r="AS41" s="111"/>
      <c r="AT41" s="111"/>
    </row>
    <row r="42" spans="4:46" ht="1.5" customHeight="1" thickBot="1" x14ac:dyDescent="0.2">
      <c r="D42" s="179"/>
      <c r="E42" s="150"/>
      <c r="F42" s="110"/>
      <c r="G42" s="110"/>
      <c r="H42" s="110"/>
      <c r="I42" s="151"/>
      <c r="J42" s="111"/>
      <c r="K42" s="111"/>
      <c r="L42" s="171"/>
      <c r="M42" s="111"/>
      <c r="N42" s="111"/>
      <c r="O42" s="171"/>
      <c r="P42" s="110"/>
      <c r="Q42" s="111"/>
      <c r="R42" s="171"/>
      <c r="S42" s="111"/>
      <c r="T42" s="111"/>
      <c r="U42" s="111"/>
      <c r="V42" s="111"/>
      <c r="W42" s="111"/>
      <c r="X42" s="111"/>
      <c r="Y42" s="111"/>
      <c r="Z42" s="111"/>
      <c r="AA42" s="111"/>
      <c r="AB42" s="171"/>
      <c r="AC42" s="213"/>
      <c r="AD42" s="212"/>
      <c r="AE42" s="111"/>
      <c r="AF42" s="111"/>
      <c r="AG42" s="111"/>
      <c r="AH42" s="111"/>
      <c r="AI42" s="213"/>
      <c r="AJ42" s="111"/>
      <c r="AK42" s="111"/>
      <c r="AL42" s="111"/>
      <c r="AM42" s="111"/>
      <c r="AN42" s="111"/>
      <c r="AO42" s="111"/>
      <c r="AP42" s="111"/>
      <c r="AQ42" s="111"/>
      <c r="AR42" s="111"/>
      <c r="AS42" s="111"/>
      <c r="AT42" s="111"/>
    </row>
    <row r="43" spans="4:46" ht="21" customHeight="1" thickTop="1" thickBot="1" x14ac:dyDescent="0.2">
      <c r="D43" s="186"/>
      <c r="E43" s="163"/>
      <c r="F43" s="108"/>
      <c r="G43" s="108"/>
      <c r="H43" s="108"/>
      <c r="I43" s="164"/>
      <c r="J43" s="109"/>
      <c r="K43" s="109"/>
      <c r="L43" s="173"/>
      <c r="M43" s="109"/>
      <c r="N43" s="109"/>
      <c r="O43" s="173"/>
      <c r="P43" s="108"/>
      <c r="Q43" s="109"/>
      <c r="R43" s="173"/>
      <c r="S43" s="109"/>
      <c r="T43" s="109"/>
      <c r="U43" s="109"/>
      <c r="V43" s="109"/>
      <c r="W43" s="109"/>
      <c r="X43" s="109"/>
      <c r="Y43" s="109"/>
      <c r="Z43" s="109"/>
      <c r="AA43" s="109"/>
      <c r="AB43" s="173"/>
      <c r="AC43" s="225"/>
      <c r="AD43" s="224"/>
      <c r="AE43" s="109"/>
      <c r="AF43" s="109"/>
      <c r="AG43" s="109"/>
      <c r="AH43" s="109"/>
      <c r="AI43" s="225"/>
      <c r="AJ43" s="109"/>
      <c r="AK43" s="109"/>
      <c r="AL43" s="109"/>
      <c r="AM43" s="109"/>
      <c r="AN43" s="109"/>
      <c r="AO43" s="109"/>
      <c r="AP43" s="109"/>
      <c r="AQ43" s="109"/>
      <c r="AR43" s="109"/>
      <c r="AS43" s="109"/>
      <c r="AT43" s="109"/>
    </row>
    <row r="44" spans="4:46" ht="15" thickTop="1" thickBot="1" x14ac:dyDescent="0.2">
      <c r="D44" s="187" t="s">
        <v>253</v>
      </c>
      <c r="E44" s="165" t="str">
        <f>"___"&amp;CHAR(10)&amp;"&gt; #### "&amp;E2&amp;CHAR(10)&amp;"&gt; ___ "&amp;CHAR(10)&amp;"&gt; - **Troop  Class** "&amp;E29&amp;CHAR(10)&amp;"&gt; - **Battle Rating** "&amp;E40&amp;CHAR(10)&amp;"&gt; - **Basic Force Rating** "&amp;E28&amp;CHAR(10)&amp;"&gt; - **Speed** "&amp;E21&amp;IF(LEN(E25)&gt;2,CHAR(10)&amp;"&gt; ___"&amp;CHAR(10)&amp;"&gt; ***Notes*** "&amp;E25,"")</f>
        <v>___
&gt; #### Lemures with Bearded Devil Officers and Barbed Devil Commander
&gt; ___ 
&gt; - **Troop  Class** Poor
&gt; - **Battle Rating** 27
&gt; - **Basic Force Rating** 27
&gt; - **Speed** 15</v>
      </c>
      <c r="F44" s="166" t="str">
        <f t="shared" ref="F44:AT44" si="11">"___"&amp;CHAR(10)&amp;"&gt; #### "&amp;F2&amp;CHAR(10)&amp;"&gt; ___ "&amp;CHAR(10)&amp;"&gt; - **Troop  Class** "&amp;F29&amp;CHAR(10)&amp;"&gt; - **Battle Rating** "&amp;F40&amp;CHAR(10)&amp;"&gt; - **Basic Force Rating** "&amp;F28&amp;CHAR(10)&amp;"&gt; - **Speed** "&amp;F21&amp;IF(LEN(F25)&gt;2,CHAR(10)&amp;"&gt; ___"&amp;CHAR(10)&amp;"&gt; ***Notes*** "&amp;F25,"")</f>
        <v>___
&gt; #### Nupperibos with Bearded Devil Officers and Barbed Devil Commander
&gt; ___ 
&gt; - **Troop  Class** Below Average
&gt; - **Battle Rating** 42
&gt; - **Basic Force Rating** 42
&gt; - **Speed** 20
&gt; ___
&gt; ***Notes*** Damage Resistances Acid, Cold; Bludgeoning, Piercing, and Slashing from Nonmagical Attacks that aren't Silvered
Damage Immunities Fire, Poison
Condition Immunities Blinded, Charmed, Frightened, Poisoned
Senses Blindsight 10 ft. (blind beyond this radius)</v>
      </c>
      <c r="G44" s="166" t="str">
        <f t="shared" si="11"/>
        <v>___
&gt; #### Imps with Spined Devil Officers and White Abishai Commander
&gt; ___ 
&gt; - **Troop  Class** Average
&gt; - **Battle Rating** 84
&gt; - **Basic Force Rating** 70
&gt; - **Speed** 40
&gt; ___
&gt; ***Notes*** Flight
Magic Resistance
Damage Resistances Cold; Bludgeoning, Piercing, and Slashing from Nonmagical Attacks that aren't Silvered
Damage Immunities Fire, Poison
Condition Immunities Poisoned</v>
      </c>
      <c r="H44" s="166" t="str">
        <f t="shared" si="11"/>
        <v>___
&gt; #### Bearded Devils with Barbed Devils Officers and Bone Devil Commander
&gt; ___ 
&gt; - **Troop  Class** Good
&gt; - **Battle Rating** 95
&gt; - **Basic Force Rating** 95
&gt; - **Speed** 30
&gt; ___
&gt; ***Notes*** Magic Resistance
Damage Resistances Cold; Bludgeoning, Piercing, and Slashing from Nonmagical Attacks that aren't Silvered
Damage Immunities Fire, Poison
Condition Immunities Poisoned</v>
      </c>
      <c r="I44" s="167" t="str">
        <f t="shared" si="11"/>
        <v>___
&gt; #### Merregons with Boned Devils Officers and Horned Devil Commander
&gt; ___ 
&gt; - **Troop  Class** Elite
&gt; - **Battle Rating** 166
&gt; - **Basic Force Rating** 151
&gt; - **Speed** 30
&gt; ___
&gt; ***Notes*** Elite
Magic Resistance
Damage Resistances Cold; Bludgeoning, Piercing, and Slashing from Nonmagical Attacks that aren't Silvered
Damage Immunities Fire, Poison
Condition Immunities Frightened, Poisoned</v>
      </c>
      <c r="J44" s="166" t="str">
        <f>"___"&amp;CHAR(10)&amp;"&gt; #### "&amp;J2&amp;CHAR(10)&amp;"&gt; ___ "&amp;CHAR(10)&amp;"&gt; - **Troop  Class** "&amp;J29&amp;CHAR(10)&amp;"&gt; - **Battle Rating** "&amp;J40&amp;CHAR(10)&amp;"&gt; - **Basic Force Rating** "&amp;J28&amp;CHAR(10)&amp;"&gt; - **Speed** "&amp;J21&amp;IF(LEN(J25)&gt;2,CHAR(10)&amp;"&gt; ___"&amp;CHAR(10)&amp;"&gt; ***Notes*** "&amp;J25,"")</f>
        <v>___
&gt; #### Dogais with Dogai Officers and Dogai Commander
&gt; ___ 
&gt; - **Troop  Class** Elite
&gt; - **Battle Rating** 222
&gt; - **Basic Force Rating** 171
&gt; - **Speed** 30
&gt; ___
&gt; ***Notes*** Magic Resistance
Damage Resistances Cold; Bludgeoning, Piercing, and Slashing from Nonmagical Attacks that aren't Silvered
Damage Immunities Fire, Poison
Condition Immunities Frightened, Poisoned
Shadow Step, Shadow Form, Avoidance, Sneak Attack</v>
      </c>
      <c r="K44" s="166" t="str">
        <f>"___"&amp;CHAR(10)&amp;"&gt; #### "&amp;K2&amp;CHAR(10)&amp;"&gt; ___ "&amp;CHAR(10)&amp;"&gt; - **Troop  Class** "&amp;K29&amp;CHAR(10)&amp;"&gt; - **Battle Rating** "&amp;K40&amp;CHAR(10)&amp;"&gt; - **Basic Force Rating** "&amp;K28&amp;CHAR(10)&amp;"&gt; - **Speed** "&amp;K21&amp;IF(LEN(K25)&gt;2,CHAR(10)&amp;"&gt; ___"&amp;CHAR(10)&amp;"&gt; ***Notes*** "&amp;K25,"")</f>
        <v>___
&gt; #### Buerozas with Barbed Devils Officers and Bone Devil Commander
&gt; ___ 
&gt; - **Troop  Class** Excellent
&gt; - **Battle Rating** 107
&gt; - **Basic Force Rating** 107
&gt; - **Speed** 30
&gt; ___
&gt; ***Notes*** Magic Resistance
Damage Resistances Cold; Bludgeoning, Piercing, and Slashing from Nonmagical Attacks that aren't Silvered
Damage Immunities Fire, Poison
Condition Immunities Frightened, Exhaustion, Incapacitated, Paralyzed, Poisoned, Stunned, Unconscious</v>
      </c>
      <c r="L44" s="165" t="str">
        <f t="shared" si="11"/>
        <v>___
&gt; #### Light War Machine Units (Devil's Ride / Bearded / Barbed)
&gt; ___ 
&gt; - **Troop  Class** Good
&gt; - **Battle Rating** 106
&gt; - **Basic Force Rating** 89
&gt; - **Speed** 120
&gt; ___
&gt; ***Notes*** Magic Resistance
Damage Resistances Cold; Bludgeoning, Piercing, and Slashing from Nonmagical Attacks that aren't Silvered
Damage Immunities Fire, Poison
Condition Immunities Poisoned</v>
      </c>
      <c r="M44" s="166" t="str">
        <f t="shared" si="11"/>
        <v>___
&gt; #### Light War Machine Units (Tormentors / Bearded / Barbed)2
&gt; ___ 
&gt; - **Troop  Class** Excellent
&gt; - **Battle Rating** 175
&gt; - **Basic Force Rating** 103
&gt; - **Speed** 100
&gt; ___
&gt; ***Notes*** Magic Resistance
Damage Resistances Cold; Bludgeoning, Piercing, and Slashing from Nonmagical Attacks that aren't Silvered
Damage Immunities Fire, Poison
Condition Immunities Poisoned</v>
      </c>
      <c r="N44" s="166" t="str">
        <f t="shared" si="11"/>
        <v>___
&gt; #### Heavy War Machines Unit (Demon Grinder / Merregons / Bone Devil)
&gt; ___ 
&gt; - **Troop  Class** Elite
&gt; - **Battle Rating** 272
&gt; - **Basic Force Rating** 160
&gt; - **Speed** 100
&gt; ___
&gt; ***Notes*** Elite
Magic Resistance
Damage Resistances Cold; Bludgeoning, Piercing, and Slashing from Nonmagical Attacks that aren't Silvered
Damage Immunities Fire, Poison
Condition Immunities Frightened, Poisoned</v>
      </c>
      <c r="O44" s="165" t="str">
        <f t="shared" si="11"/>
        <v>___
&gt; #### 77th Infantry - Herlekins with Bearded Devil Officers and Barbed Devil Commander
&gt; ___ 
&gt; - **Troop  Class** Average
&gt; - **Battle Rating** 58
&gt; - **Basic Force Rating** 58
&gt; - **Speed** 20
&gt; ___
&gt; ***Notes*** Damage Resistances Acid, Cold; Bludgeoning, Piercing, and Slashing from Nonmagical Attacks that aren't Silvered
Damage Immunities Fire, Poison
Condition Immunities Blinded, Charmed, Frightened, Poisoned
Senses Blindsight 10 ft. (blind beyond this radius)</v>
      </c>
      <c r="P44" s="166" t="str">
        <f t="shared" si="11"/>
        <v>___
&gt; #### 77th Sappers -  Ice Stalkers with Bearded Devil Officers and Barbed Devil Commander
&gt; ___ 
&gt; - **Troop  Class** Fair
&gt; - **Battle Rating** 96
&gt; - **Basic Force Rating** 74
&gt; - **Speed** 20
&gt; ___
&gt; ***Notes*** Damage Resistances Acid, Cold; Bludgeoning, Piercing, and Slashing from Nonmagical Attacks that aren't Silvered
Damage Immunities Fire, Poison
Condition Immunities Blinded, Charmed, Frightened, Poisoned
Senses Blindsight 10 ft. (blind beyond this radius)</v>
      </c>
      <c r="Q44" s="166" t="str">
        <f t="shared" si="11"/>
        <v>___
&gt; #### 77th Cavalry - Light War Machine Units (Tormentors / Bearded / Barbed)
&gt; ___ 
&gt; - **Troop  Class** Excellent
&gt; - **Battle Rating** 175
&gt; - **Basic Force Rating** 103
&gt; - **Speed** 100
&gt; ___
&gt; ***Notes*** Magic Resistance
Damage Resistances Cold; Bludgeoning, Piercing, and Slashing from Nonmagical Attacks that aren't Silvered
Damage Immunities Fire, Poison
Condition Immunities Poisoned</v>
      </c>
      <c r="R44" s="165" t="str">
        <f t="shared" si="11"/>
        <v>___
&gt; #### Mad Maggie's - Madcaps with Redcap Officers and Nighthag Commander
&gt; ___ 
&gt; - **Troop  Class** Average
&gt; - **Battle Rating** 69
&gt; - **Basic Force Rating** 69
&gt; - **Speed** 25</v>
      </c>
      <c r="S44" s="166" t="str">
        <f t="shared" si="11"/>
        <v>___
&gt; #### Goreguts - Wererats with Wereboar Officers and Wereboar Commander
&gt; ___ 
&gt; - **Troop  Class** Fair
&gt; - **Battle Rating** 75
&gt; - **Basic Force Rating** 75
&gt; - **Speed** 30
&gt; ___
&gt; ***Notes*** Damage Immunities Bludgeoning, Piercing, and Slashing from Nonmagical Attacks that aren't Silvered</v>
      </c>
      <c r="T44" s="166" t="str">
        <f>"___"&amp;CHAR(10)&amp;"&gt; #### "&amp;T2&amp;CHAR(10)&amp;"&gt; ___ "&amp;CHAR(10)&amp;"&gt; - **Troop  Class** "&amp;T29&amp;CHAR(10)&amp;"&gt; - **Battle Rating** "&amp;T40&amp;CHAR(10)&amp;"&gt; - **Basic Force Rating** "&amp;T28&amp;CHAR(10)&amp;"&gt; - **Speed** "&amp;T21&amp;IF(LEN(T25)&gt;2,CHAR(10)&amp;"&gt; ___"&amp;CHAR(10)&amp;"&gt; ***Notes*** "&amp;T25,"")</f>
        <v>___
&gt; #### Raggadragga - Heavy War Machines Unit (Demon Grinder / Wereboars / Wereboars)
&gt; ___ 
&gt; - **Troop  Class** Elite
&gt; - **Battle Rating** 187
&gt; - **Basic Force Rating** 134
&gt; - **Speed** 100
&gt; ___
&gt; ***Notes*** Elite
Magic Resistance
Damage Resistances Cold; Bludgeoning, Piercing, and Slashing from Nonmagical Attacks that aren't Silvered
Damage Immunities Fire, Poison
Condition Immunities Frightened, Poisoned</v>
      </c>
      <c r="U44" s="166" t="str">
        <f t="shared" si="11"/>
        <v>___
&gt; #### Bitter Breath's Marauders - Hobgoblins with Hobgoblins Captains Officers and Horned Devil Commander
&gt; ___ 
&gt; - **Troop  Class** Fair
&gt; - **Battle Rating** 92
&gt; - **Basic Force Rating** 77
&gt; - **Speed** 30</v>
      </c>
      <c r="V44" s="166" t="str">
        <f>"___"&amp;CHAR(10)&amp;"&gt; #### "&amp;V2&amp;CHAR(10)&amp;"&gt; ___ "&amp;CHAR(10)&amp;"&gt; - **Troop  Class** "&amp;V29&amp;CHAR(10)&amp;"&gt; - **Battle Rating** "&amp;V40&amp;CHAR(10)&amp;"&gt; - **Basic Force Rating** "&amp;V28&amp;CHAR(10)&amp;"&gt; - **Speed** "&amp;V21&amp;IF(LEN(V25)&gt;2,CHAR(10)&amp;"&gt; ___"&amp;CHAR(10)&amp;"&gt; ***Notes*** "&amp;V25,"")</f>
        <v>___
&gt; #### Bitter Breath's Crushers - Light War Machine Units (Tormentors / Hobgoblins / Hobgoblins Captains )
&gt; ___ 
&gt; - **Troop  Class** Elite
&gt; - **Battle Rating** 191
&gt; - **Basic Force Rating** 137
&gt; - **Speed** 100</v>
      </c>
      <c r="W44" s="166" t="str">
        <f t="shared" si="11"/>
        <v>___
&gt; #### Feonor's Golden Gloom - Ghouls with Ghast Officers and Archmage Commander
&gt; ___ 
&gt; - **Troop  Class** Excellent
&gt; - **Battle Rating** 109
&gt; - **Basic Force Rating** 109
&gt; - **Speed** 30
&gt; ___
&gt; ***Notes*** Damage Immunities Poison
Condition Immunities Charmed, Exhaustion, Poisoned</v>
      </c>
      <c r="X44" s="166" t="str">
        <f t="shared" si="11"/>
        <v>___
&gt; #### Feonor's Crimson Tide  - Zombie Ogres with Zombie Hill Giant Officers and Archmage Commander
&gt; ___ 
&gt; - **Troop  Class** Below Average
&gt; - **Battle Rating** 50
&gt; - **Basic Force Rating** 50
&gt; - **Speed** 30</v>
      </c>
      <c r="Y44" s="166" t="str">
        <f>"___"&amp;CHAR(10)&amp;"&gt; #### "&amp;Y2&amp;CHAR(10)&amp;"&gt; ___ "&amp;CHAR(10)&amp;"&gt; - **Troop  Class** "&amp;Y29&amp;CHAR(10)&amp;"&gt; - **Battle Rating** "&amp;Y40&amp;CHAR(10)&amp;"&gt; - **Basic Force Rating** "&amp;Y28&amp;CHAR(10)&amp;"&gt; - **Speed** "&amp;Y21&amp;IF(LEN(Y25)&gt;2,CHAR(10)&amp;"&gt; ___"&amp;CHAR(10)&amp;"&gt; ***Notes*** "&amp;Y25,"")</f>
        <v>___
&gt; #### Princeps Kovik's Eight Remnant - Lemures with Bearded Devil Officers and Chain Devil Commander
&gt; ___ 
&gt; - **Troop  Class** Poor
&gt; - **Battle Rating** 28
&gt; - **Basic Force Rating** 28
&gt; - **Speed** 15</v>
      </c>
      <c r="Z44" s="166" t="str">
        <f>"___"&amp;CHAR(10)&amp;"&gt; #### "&amp;Z2&amp;CHAR(10)&amp;"&gt; ___ "&amp;CHAR(10)&amp;"&gt; - **Troop  Class** "&amp;Z29&amp;CHAR(10)&amp;"&gt; - **Battle Rating** "&amp;Z40&amp;CHAR(10)&amp;"&gt; - **Basic Force Rating** "&amp;Z28&amp;CHAR(10)&amp;"&gt; - **Speed** "&amp;Z21&amp;IF(LEN(Z25)&gt;2,CHAR(10)&amp;"&gt; ___"&amp;CHAR(10)&amp;"&gt; ***Notes*** "&amp;Z25,"")</f>
        <v>___
&gt; #### Big Chief Demoneater - Ogres with Hill Giant Officers and Commander
&gt; ___ 
&gt; - **Troop  Class** Below Average
&gt; - **Battle Rating** 44
&gt; - **Basic Force Rating** 44
&gt; - **Speed** 40</v>
      </c>
      <c r="AA44" s="166" t="str">
        <f>"___"&amp;CHAR(10)&amp;"&gt; #### "&amp;AA2&amp;CHAR(10)&amp;"&gt; ___ "&amp;CHAR(10)&amp;"&gt; - **Troop  Class** "&amp;AA29&amp;CHAR(10)&amp;"&gt; - **Battle Rating** "&amp;AA40&amp;CHAR(10)&amp;"&gt; - **Basic Force Rating** "&amp;AA28&amp;CHAR(10)&amp;"&gt; - **Speed** "&amp;AA21&amp;IF(LEN(AA25)&gt;2,CHAR(10)&amp;"&gt; ___"&amp;CHAR(10)&amp;"&gt; ***Notes*** "&amp;AA25,"")</f>
        <v>___
&gt; #### The Court of Filth - Cranium Rats
&gt; ___ 
&gt; - **Troop  Class** Excellent
&gt; - **Battle Rating** 137
&gt; - **Basic Force Rating** 106
&gt; - **Speed** 30
&gt; ___
&gt; ***Notes*** Damage Resistances Bludgeoning, Piercing, Slashing
Condition Immunities Charmed, Frightened, Grappled, Paralyzed, Petrified, Prone, Restrained, Stunned</v>
      </c>
      <c r="AB44" s="165" t="str">
        <f t="shared" si="11"/>
        <v>___
&gt; #### Mezzoloths with Nycaloth Officers and Arcanaloth Commander
&gt; ___ 
&gt; - **Troop  Class** Excellent
&gt; - **Battle Rating** 124
&gt; - **Basic Force Rating** 113
&gt; - **Speed** 40
&gt; ___
&gt; ***Notes*** Damage Resistances Cold, Fire, Lightning; Bludgeoning, Piercing, and Slashing from Nonmagical Attacks
Damage Immunities Acid, Poison
Condition Immunities Poisoned</v>
      </c>
      <c r="AC44" s="227" t="str">
        <f t="shared" si="11"/>
        <v>___
&gt; #### Dhergoloths with Nycaloth Officers and Arcanaloth Commander
&gt; ___ 
&gt; - **Troop  Class** Elite
&gt; - **Battle Rating** 143
&gt; - **Basic Force Rating** 130
&gt; - **Speed** 40
&gt; ___
&gt; ***Notes*** Damage Resistances Cold, Fire, Lightning; Bludgeoning, Piercing, and Slashing from Nonmagical Attacks
Damage Immunities Acid, Poison
Condition Immunities Poisoned</v>
      </c>
      <c r="AD44" s="226" t="str">
        <f t="shared" si="11"/>
        <v>___
&gt; #### Dretches with Rutterkin Officers and Babau Commander
&gt; ___ 
&gt; - **Troop  Class** Poor
&gt; - **Battle Rating** 25
&gt; - **Basic Force Rating** 25
&gt; - **Speed** 20
&gt; ___
&gt; ***Notes*** Damage Resistances Cold, Fire, Lightning
Damage Immunities Poison
Condition Immunities Poisoned</v>
      </c>
      <c r="AE44" s="231" t="str">
        <f t="shared" si="11"/>
        <v>___
&gt; #### Rutterkins with Bulezeau Officers and Babau Commander
&gt; ___ 
&gt; - **Troop  Class** Below Average
&gt; - **Battle Rating** 42
&gt; - **Basic Force Rating** 39
&gt; - **Speed** 20
&gt; ___
&gt; ***Notes*** Damage Resistances Cold, Fire, Lightning
Damage Immunities Poison
Condition Immunities Charmed, Frightened, Poisoned</v>
      </c>
      <c r="AF44" s="231" t="str">
        <f t="shared" si="11"/>
        <v>___
&gt; #### Bulezeaus with Babaus Officers and Shadow Demon Commander
&gt; ___ 
&gt; - **Troop  Class** Average
&gt; - **Battle Rating** 68
&gt; - **Basic Force Rating** 62
&gt; - **Speed** 40
&gt; ___
&gt; ***Notes*** Damage Resistances Cold, Fire, Lightning
Damage Immunities Poison
Condition Immunities Charmed, Frightened, Poisoned</v>
      </c>
      <c r="AG44" s="231" t="str">
        <f t="shared" si="11"/>
        <v>___
&gt; #### Babaus with Shadow Demon Officers and Glabrezu Commander
&gt; ___ 
&gt; - **Troop  Class** Fair
&gt; - **Battle Rating** 101
&gt; - **Basic Force Rating** 78
&gt; - **Speed** 40
&gt; ___
&gt; ***Notes*** Damage Resistances Cold, Fire, Lightning; Bludgeoning, Piercing, and Slashing from Nonmagical Attacks
Damage Immunities Poison
Condition Immunities Poisoned</v>
      </c>
      <c r="AH44" s="231" t="str">
        <f t="shared" si="11"/>
        <v>___
&gt; #### Barlguras with Armanite Officers and Glabrezu Commander
&gt; ___ 
&gt; - **Troop  Class** Good
&gt; - **Battle Rating** 107
&gt; - **Basic Force Rating** 83
&gt; - **Speed** 40
&gt; ___
&gt; ***Notes*** Damage Resistances Cold, Fire, Lightning
Damage Immunities Poison
Condition Immunities Poisoned</v>
      </c>
      <c r="AI44" s="227" t="str">
        <f t="shared" si="11"/>
        <v>___
&gt; #### Armanites with Shadow Demon Officers and Glabrezu Nalfeshnee Commander
&gt; ___ 
&gt; - **Troop  Class** Excellent
&gt; - **Battle Rating** 145
&gt; - **Basic Force Rating** 112
&gt; - **Speed** 60
&gt; ___
&gt; ***Notes*** Damage Resistances Cold, Fire, Lightning
Damage Immunities Poison
Condition Immunities Poisoned</v>
      </c>
      <c r="AJ44" s="108" t="str">
        <f t="shared" si="11"/>
        <v xml:space="preserve">___
&gt; #### Column1
&gt; ___ 
&gt; - **Troop  Class** 
&gt; - **Battle Rating** 
&gt; - **Basic Force Rating** 
&gt; - **Speed** </v>
      </c>
      <c r="AK44" s="108" t="str">
        <f t="shared" si="11"/>
        <v xml:space="preserve">___
&gt; #### NewGallo
Militia
&gt; ___ 
&gt; - **Troop  Class** 
&gt; - **Battle Rating** -953
&gt; - **Basic Force Rating** -953
&gt; - **Speed** </v>
      </c>
      <c r="AL44" s="108" t="str">
        <f t="shared" si="11"/>
        <v xml:space="preserve">___
&gt; #### Ducal
Marines
&gt; ___ 
&gt; - **Troop  Class** 
&gt; - **Battle Rating** -913
&gt; - **Basic Force Rating** -913
&gt; - **Speed** </v>
      </c>
      <c r="AM44" s="108" t="str">
        <f t="shared" si="11"/>
        <v xml:space="preserve">___
&gt; #### Drow
Raiders
&gt; ___ 
&gt; - **Troop  Class** 
&gt; - **Battle Rating** -906
&gt; - **Basic Force Rating** -906
&gt; - **Speed** </v>
      </c>
      <c r="AN44" s="108" t="str">
        <f t="shared" si="11"/>
        <v xml:space="preserve">___
&gt; #### Firenewt
Infantry
&gt; ___ 
&gt; - **Troop  Class** 
&gt; - **Battle Rating** -909
&gt; - **Basic Force Rating** -909
&gt; - **Speed** </v>
      </c>
      <c r="AO44" s="108" t="str">
        <f t="shared" si="11"/>
        <v xml:space="preserve">___
&gt; #### Firenewt
Cavalry
&gt; ___ 
&gt; - **Troop  Class** 
&gt; - **Battle Rating** -908
&gt; - **Basic Force Rating** -908
&gt; - **Speed** </v>
      </c>
      <c r="AP44" s="108" t="str">
        <f t="shared" si="11"/>
        <v xml:space="preserve">___
&gt; #### Goblin
Skimishers
&gt; ___ 
&gt; - **Troop  Class** 
&gt; - **Battle Rating** -956
&gt; - **Basic Force Rating** -956
&gt; - **Speed** </v>
      </c>
      <c r="AQ44" s="108" t="str">
        <f t="shared" si="11"/>
        <v xml:space="preserve">___
&gt; #### Orc Raiders
&gt; ___ 
&gt; - **Troop  Class** 
&gt; - **Battle Rating** -932
&gt; - **Basic Force Rating** -932
&gt; - **Speed** </v>
      </c>
      <c r="AR44" s="108" t="str">
        <f t="shared" si="11"/>
        <v xml:space="preserve">___
&gt; #### Human Cavalry
&gt; ___ 
&gt; - **Troop  Class** 
&gt; - **Battle Rating** -966
&gt; - **Basic Force Rating** -966
&gt; - **Speed** </v>
      </c>
      <c r="AS44" s="108" t="str">
        <f t="shared" si="11"/>
        <v xml:space="preserve">___
&gt; #### Elven Archers
&gt; ___ 
&gt; - **Troop  Class** 
&gt; - **Battle Rating** -1004
&gt; - **Basic Force Rating** -1004
&gt; - **Speed** </v>
      </c>
      <c r="AT44" s="108" t="str">
        <f t="shared" si="11"/>
        <v xml:space="preserve">___
&gt; #### Dwarven Infantry
&gt; ___ 
&gt; - **Troop  Class** 
&gt; - **Battle Rating** -999
&gt; - **Basic Force Rating** -999
&gt; - **Speed** </v>
      </c>
    </row>
    <row r="48" spans="4:46" x14ac:dyDescent="0.15">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row>
    <row r="49" spans="5:35" x14ac:dyDescent="0.15">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row>
  </sheetData>
  <phoneticPr fontId="3" type="noConversion"/>
  <conditionalFormatting sqref="AD28:AT28">
    <cfRule type="cellIs" dxfId="304" priority="4" operator="lessThan">
      <formula>0</formula>
    </cfRule>
  </conditionalFormatting>
  <conditionalFormatting sqref="AD40:AT40">
    <cfRule type="cellIs" dxfId="303" priority="3" operator="lessThan">
      <formula>0</formula>
    </cfRule>
  </conditionalFormatting>
  <conditionalFormatting sqref="AC28">
    <cfRule type="cellIs" dxfId="302" priority="2" operator="lessThan">
      <formula>0</formula>
    </cfRule>
  </conditionalFormatting>
  <conditionalFormatting sqref="AC40">
    <cfRule type="cellIs" dxfId="301" priority="1" operator="lessThan">
      <formula>0</formula>
    </cfRule>
  </conditionalFormatting>
  <dataValidations count="5">
    <dataValidation type="list" showInputMessage="1" promptTitle="Choose Weapon Quality" prompt="Average, Good (minor bonuses), Excellent (Magic, major bonuses)" sqref="AJ16:AT16 AB16:AC16" xr:uid="{00000000-0002-0000-0100-000000000000}">
      <formula1>"Average,Good,Excellent"</formula1>
    </dataValidation>
    <dataValidation type="list" sqref="E7:AT7 E17:AT17" xr:uid="{00000000-0002-0000-0100-000001000000}">
      <formula1>"Y,N"</formula1>
    </dataValidation>
    <dataValidation type="list" showInputMessage="1" showErrorMessage="1" sqref="E8:F8 L8:M8 O8:S8 U8:AA8" xr:uid="{00000000-0002-0000-0100-000002000000}">
      <formula1>tPercentOfficers</formula1>
    </dataValidation>
    <dataValidation type="list" showInputMessage="1" promptTitle="Choose Weapon Quality" prompt="Poor (low quality or poor natural weapons), Average, Good (minor bonuses), Excellent (Magic, major bonuses)" sqref="AD16:AI16 E16:AA16" xr:uid="{00000000-0002-0000-0100-000003000000}">
      <formula1>"Poor,Average,Good,Excellent"</formula1>
    </dataValidation>
    <dataValidation type="list" allowBlank="1" showInputMessage="1" showErrorMessage="1" sqref="E32:AT37" xr:uid="{00000000-0002-0000-0100-000004000000}">
      <formula1>tPercentBattleRating</formula1>
    </dataValidation>
  </dataValidations>
  <hyperlinks>
    <hyperlink ref="E22" r:id="rId1" xr:uid="{00000000-0004-0000-0100-000000000000}"/>
    <hyperlink ref="F22" r:id="rId2" xr:uid="{00000000-0004-0000-0100-000001000000}"/>
    <hyperlink ref="E23" r:id="rId3" xr:uid="{00000000-0004-0000-0100-000002000000}"/>
    <hyperlink ref="F23" r:id="rId4" xr:uid="{00000000-0004-0000-0100-000003000000}"/>
    <hyperlink ref="E24" r:id="rId5" xr:uid="{00000000-0004-0000-0100-000004000000}"/>
    <hyperlink ref="F24" r:id="rId6" xr:uid="{00000000-0004-0000-0100-000005000000}"/>
    <hyperlink ref="G22" r:id="rId7" xr:uid="{00000000-0004-0000-0100-000006000000}"/>
    <hyperlink ref="G23" r:id="rId8" xr:uid="{00000000-0004-0000-0100-000007000000}"/>
    <hyperlink ref="G24" r:id="rId9" xr:uid="{00000000-0004-0000-0100-000008000000}"/>
    <hyperlink ref="H22" r:id="rId10" xr:uid="{00000000-0004-0000-0100-000009000000}"/>
    <hyperlink ref="H23" r:id="rId11" xr:uid="{00000000-0004-0000-0100-00000A000000}"/>
    <hyperlink ref="H24" r:id="rId12" xr:uid="{00000000-0004-0000-0100-00000B000000}"/>
    <hyperlink ref="I23" r:id="rId13" xr:uid="{00000000-0004-0000-0100-00000C000000}"/>
    <hyperlink ref="I24" r:id="rId14" xr:uid="{00000000-0004-0000-0100-00000D000000}"/>
    <hyperlink ref="AD22" r:id="rId15" xr:uid="{00000000-0004-0000-0100-00000E000000}"/>
    <hyperlink ref="AD23" r:id="rId16" xr:uid="{00000000-0004-0000-0100-00000F000000}"/>
    <hyperlink ref="AD24" r:id="rId17" xr:uid="{00000000-0004-0000-0100-000010000000}"/>
    <hyperlink ref="AE22" r:id="rId18" xr:uid="{00000000-0004-0000-0100-000011000000}"/>
    <hyperlink ref="AE24" r:id="rId19" xr:uid="{00000000-0004-0000-0100-000012000000}"/>
    <hyperlink ref="AG22" r:id="rId20" xr:uid="{00000000-0004-0000-0100-000013000000}"/>
    <hyperlink ref="AF23" r:id="rId21" xr:uid="{00000000-0004-0000-0100-000014000000}"/>
    <hyperlink ref="AG24" r:id="rId22" xr:uid="{00000000-0004-0000-0100-000015000000}"/>
    <hyperlink ref="AH24" r:id="rId23" xr:uid="{00000000-0004-0000-0100-000016000000}"/>
    <hyperlink ref="AI24" r:id="rId24" xr:uid="{00000000-0004-0000-0100-000017000000}"/>
    <hyperlink ref="AH22" r:id="rId25" xr:uid="{00000000-0004-0000-0100-000018000000}"/>
    <hyperlink ref="AI22" r:id="rId26" xr:uid="{00000000-0004-0000-0100-000019000000}"/>
    <hyperlink ref="AB22" r:id="rId27" xr:uid="{00000000-0004-0000-0100-00001A000000}"/>
    <hyperlink ref="AB23" r:id="rId28" xr:uid="{00000000-0004-0000-0100-00001B000000}"/>
    <hyperlink ref="AC23" r:id="rId29" xr:uid="{00000000-0004-0000-0100-00001C000000}"/>
    <hyperlink ref="AC24" r:id="rId30" xr:uid="{00000000-0004-0000-0100-00001D000000}"/>
    <hyperlink ref="AC22" r:id="rId31" xr:uid="{00000000-0004-0000-0100-00001E000000}"/>
    <hyperlink ref="AH23" r:id="rId32" xr:uid="{00000000-0004-0000-0100-00001F000000}"/>
    <hyperlink ref="AI23" r:id="rId33" xr:uid="{00000000-0004-0000-0100-000020000000}"/>
    <hyperlink ref="L22" r:id="rId34" xr:uid="{00000000-0004-0000-0100-000021000000}"/>
    <hyperlink ref="L23" r:id="rId35" xr:uid="{00000000-0004-0000-0100-000022000000}"/>
    <hyperlink ref="L24" r:id="rId36" xr:uid="{00000000-0004-0000-0100-000023000000}"/>
    <hyperlink ref="M22" r:id="rId37" xr:uid="{00000000-0004-0000-0100-000024000000}"/>
    <hyperlink ref="M23" r:id="rId38" xr:uid="{00000000-0004-0000-0100-000025000000}"/>
    <hyperlink ref="M24" r:id="rId39" xr:uid="{00000000-0004-0000-0100-000026000000}"/>
    <hyperlink ref="AB24" r:id="rId40" xr:uid="{00000000-0004-0000-0100-000027000000}"/>
    <hyperlink ref="N24" r:id="rId41" xr:uid="{00000000-0004-0000-0100-000028000000}"/>
    <hyperlink ref="Q22" r:id="rId42" xr:uid="{00000000-0004-0000-0100-000029000000}"/>
    <hyperlink ref="Q23" r:id="rId43" xr:uid="{00000000-0004-0000-0100-00002A000000}"/>
    <hyperlink ref="Q24" r:id="rId44" xr:uid="{00000000-0004-0000-0100-00002B000000}"/>
    <hyperlink ref="O23" r:id="rId45" xr:uid="{00000000-0004-0000-0100-00002C000000}"/>
    <hyperlink ref="O24" r:id="rId46" xr:uid="{00000000-0004-0000-0100-00002D000000}"/>
    <hyperlink ref="P23" r:id="rId47" xr:uid="{00000000-0004-0000-0100-00002E000000}"/>
    <hyperlink ref="P24" r:id="rId48" xr:uid="{00000000-0004-0000-0100-00002F000000}"/>
    <hyperlink ref="R23" r:id="rId49" xr:uid="{00000000-0004-0000-0100-000030000000}"/>
    <hyperlink ref="R24" r:id="rId50" xr:uid="{00000000-0004-0000-0100-000031000000}"/>
    <hyperlink ref="T24" r:id="rId51" xr:uid="{00000000-0004-0000-0100-000032000000}"/>
    <hyperlink ref="S23" r:id="rId52" xr:uid="{00000000-0004-0000-0100-000033000000}"/>
    <hyperlink ref="Y22" r:id="rId53" xr:uid="{00000000-0004-0000-0100-000034000000}"/>
    <hyperlink ref="Y23" r:id="rId54" xr:uid="{00000000-0004-0000-0100-000035000000}"/>
    <hyperlink ref="U23" r:id="rId55" xr:uid="{00000000-0004-0000-0100-000036000000}"/>
    <hyperlink ref="U22" r:id="rId56" xr:uid="{00000000-0004-0000-0100-000037000000}"/>
    <hyperlink ref="U24" r:id="rId57" xr:uid="{00000000-0004-0000-0100-000038000000}"/>
    <hyperlink ref="W24" r:id="rId58" xr:uid="{00000000-0004-0000-0100-000039000000}"/>
    <hyperlink ref="W22" r:id="rId59" xr:uid="{00000000-0004-0000-0100-00003A000000}"/>
    <hyperlink ref="W23" r:id="rId60" xr:uid="{00000000-0004-0000-0100-00003B000000}"/>
    <hyperlink ref="Y24" r:id="rId61" xr:uid="{00000000-0004-0000-0100-00003C000000}"/>
    <hyperlink ref="Z22" r:id="rId62" xr:uid="{00000000-0004-0000-0100-00003D000000}"/>
    <hyperlink ref="AA24" r:id="rId63" xr:uid="{00000000-0004-0000-0100-00003E000000}"/>
    <hyperlink ref="AA22" r:id="rId64" xr:uid="{00000000-0004-0000-0100-00003F000000}"/>
    <hyperlink ref="AA23" r:id="rId65" xr:uid="{00000000-0004-0000-0100-000040000000}"/>
    <hyperlink ref="O22" r:id="rId66" xr:uid="{00000000-0004-0000-0100-000041000000}"/>
    <hyperlink ref="P22" r:id="rId67" xr:uid="{00000000-0004-0000-0100-000042000000}"/>
    <hyperlink ref="V23" r:id="rId68" xr:uid="{00000000-0004-0000-0100-000043000000}"/>
    <hyperlink ref="V22" r:id="rId69" xr:uid="{00000000-0004-0000-0100-000044000000}"/>
    <hyperlink ref="V24" r:id="rId70" xr:uid="{00000000-0004-0000-0100-000045000000}"/>
    <hyperlink ref="J22" r:id="rId71" xr:uid="{93ED9CC2-9EFF-465C-81AF-CADB3E5F6008}"/>
    <hyperlink ref="J23" r:id="rId72" xr:uid="{C3420A6B-EC07-4D01-B97E-9D51299869C3}"/>
    <hyperlink ref="J24" r:id="rId73" xr:uid="{87E5E47E-E187-46BC-BB22-3A7ADE6FD11A}"/>
    <hyperlink ref="K22" r:id="rId74" xr:uid="{CD14275A-5442-42E7-A945-3F57CA01354F}"/>
    <hyperlink ref="K23" r:id="rId75" xr:uid="{94004CFF-1BBF-41B9-B484-C273A01F3199}"/>
    <hyperlink ref="K24" r:id="rId76" xr:uid="{FCD14347-AF1C-4615-A9E3-48D8027C63EC}"/>
    <hyperlink ref="X22" r:id="rId77" xr:uid="{7626CB74-EAE6-4566-9037-CAC0DCD1D93E}"/>
    <hyperlink ref="Z23" r:id="rId78" xr:uid="{3AC315A3-F8A8-428B-B372-4364052283A1}"/>
    <hyperlink ref="Z24" r:id="rId79" xr:uid="{CBB42C50-B75C-434C-AD35-E04ECB83C8E0}"/>
    <hyperlink ref="X23" r:id="rId80" xr:uid="{BDBDBC8A-918A-4082-A42C-A45F1402AD0C}"/>
    <hyperlink ref="X24" r:id="rId81" xr:uid="{D395E33A-A47E-4457-805E-87944A4CACF6}"/>
  </hyperlinks>
  <pageMargins left="0.7" right="0.7" top="0.75" bottom="0.75" header="0.3" footer="0.3"/>
  <pageSetup paperSize="9" orientation="portrait" horizontalDpi="300" verticalDpi="300" r:id="rId82"/>
  <drawing r:id="rId83"/>
  <tableParts count="1">
    <tablePart r:id="rId8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N30"/>
  <sheetViews>
    <sheetView showGridLines="0" zoomScaleNormal="100" workbookViewId="0">
      <pane xSplit="4" ySplit="2" topLeftCell="E3" activePane="bottomRight" state="frozen"/>
      <selection pane="topRight" activeCell="E1" sqref="E1"/>
      <selection pane="bottomLeft" activeCell="A3" sqref="A3"/>
      <selection pane="bottomRight" activeCell="D35" sqref="D35"/>
    </sheetView>
  </sheetViews>
  <sheetFormatPr baseColWidth="10" defaultColWidth="8.83203125" defaultRowHeight="13" x14ac:dyDescent="0.15"/>
  <cols>
    <col min="1" max="1" width="3.1640625" customWidth="1"/>
    <col min="2" max="2" width="22.1640625" customWidth="1"/>
    <col min="3" max="3" width="3.1640625" customWidth="1"/>
    <col min="4" max="4" width="65.5" customWidth="1"/>
    <col min="5" max="14" width="17.5" customWidth="1"/>
    <col min="16" max="16" width="43.5" customWidth="1"/>
  </cols>
  <sheetData>
    <row r="1" spans="4:14" ht="14" thickBot="1" x14ac:dyDescent="0.2"/>
    <row r="2" spans="4:14" ht="30" customHeight="1" thickBot="1" x14ac:dyDescent="0.2">
      <c r="D2" s="76" t="s">
        <v>148</v>
      </c>
      <c r="E2" s="79" t="s">
        <v>144</v>
      </c>
      <c r="F2" s="79" t="s">
        <v>145</v>
      </c>
      <c r="G2" s="79" t="s">
        <v>195</v>
      </c>
      <c r="H2" s="79" t="s">
        <v>146</v>
      </c>
      <c r="I2" s="79" t="s">
        <v>147</v>
      </c>
      <c r="J2" s="79" t="s">
        <v>150</v>
      </c>
      <c r="K2" s="79" t="s">
        <v>220</v>
      </c>
      <c r="L2" s="79" t="s">
        <v>221</v>
      </c>
      <c r="M2" s="79" t="s">
        <v>222</v>
      </c>
      <c r="N2" s="80" t="s">
        <v>223</v>
      </c>
    </row>
    <row r="3" spans="4:14" ht="20.25" customHeight="1" thickBot="1" x14ac:dyDescent="0.2">
      <c r="D3" s="76" t="s">
        <v>226</v>
      </c>
      <c r="E3" s="77">
        <v>110</v>
      </c>
      <c r="F3" s="77">
        <v>55</v>
      </c>
      <c r="G3" s="77">
        <v>500</v>
      </c>
      <c r="H3" s="77">
        <v>20</v>
      </c>
      <c r="I3" s="77">
        <v>20</v>
      </c>
      <c r="J3" s="77">
        <v>50</v>
      </c>
      <c r="K3" s="77">
        <v>1000</v>
      </c>
      <c r="L3" s="77">
        <v>500</v>
      </c>
      <c r="M3" s="77">
        <v>200</v>
      </c>
      <c r="N3" s="78">
        <v>200</v>
      </c>
    </row>
    <row r="4" spans="4:14" ht="20.25" customHeight="1" x14ac:dyDescent="0.15">
      <c r="D4" s="65" t="s">
        <v>7</v>
      </c>
      <c r="E4" s="66">
        <v>7</v>
      </c>
      <c r="F4" s="66">
        <v>5</v>
      </c>
      <c r="G4" s="66">
        <v>10</v>
      </c>
      <c r="H4" s="66">
        <v>5</v>
      </c>
      <c r="I4" s="66">
        <v>5</v>
      </c>
      <c r="J4" s="66">
        <v>3</v>
      </c>
      <c r="K4" s="66">
        <v>6</v>
      </c>
      <c r="L4" s="66"/>
      <c r="M4" s="66"/>
      <c r="N4" s="67"/>
    </row>
    <row r="5" spans="4:14" ht="20.25" customHeight="1" x14ac:dyDescent="0.15">
      <c r="D5" s="68" t="s">
        <v>8</v>
      </c>
      <c r="E5" s="69">
        <v>16</v>
      </c>
      <c r="F5" s="69">
        <v>14</v>
      </c>
      <c r="G5" s="69">
        <v>13</v>
      </c>
      <c r="H5" s="69">
        <v>14</v>
      </c>
      <c r="I5" s="69">
        <v>14</v>
      </c>
      <c r="J5" s="69">
        <v>14</v>
      </c>
      <c r="K5" s="69">
        <v>11</v>
      </c>
      <c r="L5" s="69"/>
      <c r="M5" s="69"/>
      <c r="N5" s="70"/>
    </row>
    <row r="6" spans="4:14" ht="20.25" customHeight="1" x14ac:dyDescent="0.15">
      <c r="D6" s="68" t="s">
        <v>9</v>
      </c>
      <c r="E6" s="69">
        <v>12</v>
      </c>
      <c r="F6" s="69">
        <v>14</v>
      </c>
      <c r="G6" s="69">
        <v>17</v>
      </c>
      <c r="H6" s="69">
        <v>18</v>
      </c>
      <c r="I6" s="69">
        <v>18</v>
      </c>
      <c r="J6" s="69">
        <v>12</v>
      </c>
      <c r="K6" s="69">
        <v>11</v>
      </c>
      <c r="L6" s="69"/>
      <c r="M6" s="69"/>
      <c r="N6" s="70"/>
    </row>
    <row r="7" spans="4:14" ht="20.25" customHeight="1" x14ac:dyDescent="0.15">
      <c r="D7" s="68" t="s">
        <v>10</v>
      </c>
      <c r="E7" s="69">
        <v>18</v>
      </c>
      <c r="F7" s="69">
        <v>16</v>
      </c>
      <c r="G7" s="69">
        <v>18</v>
      </c>
      <c r="H7" s="69">
        <v>16</v>
      </c>
      <c r="I7" s="69">
        <v>16</v>
      </c>
      <c r="J7" s="69">
        <v>14</v>
      </c>
      <c r="K7" s="69">
        <v>16</v>
      </c>
      <c r="L7" s="69"/>
      <c r="M7" s="69"/>
      <c r="N7" s="70"/>
    </row>
    <row r="8" spans="4:14" ht="20.25" customHeight="1" x14ac:dyDescent="0.15">
      <c r="D8" s="68" t="s">
        <v>151</v>
      </c>
      <c r="E8" s="69" t="s">
        <v>152</v>
      </c>
      <c r="F8" s="69" t="s">
        <v>152</v>
      </c>
      <c r="G8" s="69" t="s">
        <v>152</v>
      </c>
      <c r="H8" s="69" t="s">
        <v>152</v>
      </c>
      <c r="I8" s="69" t="s">
        <v>152</v>
      </c>
      <c r="J8" s="69" t="s">
        <v>152</v>
      </c>
      <c r="K8" s="69" t="s">
        <v>152</v>
      </c>
      <c r="L8" s="69"/>
      <c r="M8" s="69"/>
      <c r="N8" s="70"/>
    </row>
    <row r="9" spans="4:14" ht="20.25" customHeight="1" x14ac:dyDescent="0.15">
      <c r="D9" s="68" t="s">
        <v>153</v>
      </c>
      <c r="E9" s="71">
        <v>0</v>
      </c>
      <c r="F9" s="71">
        <v>0</v>
      </c>
      <c r="G9" s="71">
        <v>0.1</v>
      </c>
      <c r="H9" s="71">
        <v>0</v>
      </c>
      <c r="I9" s="71">
        <v>0</v>
      </c>
      <c r="J9" s="71">
        <v>0</v>
      </c>
      <c r="K9" s="71">
        <v>0</v>
      </c>
      <c r="L9" s="71"/>
      <c r="M9" s="71"/>
      <c r="N9" s="72"/>
    </row>
    <row r="10" spans="4:14" ht="20.25" customHeight="1" x14ac:dyDescent="0.15">
      <c r="D10" s="68" t="s">
        <v>154</v>
      </c>
      <c r="E10" s="71">
        <v>0</v>
      </c>
      <c r="F10" s="71">
        <v>0</v>
      </c>
      <c r="G10" s="71">
        <v>0</v>
      </c>
      <c r="H10" s="71">
        <v>0</v>
      </c>
      <c r="I10" s="71">
        <v>0</v>
      </c>
      <c r="J10" s="71">
        <v>0</v>
      </c>
      <c r="K10" s="71">
        <v>0</v>
      </c>
      <c r="L10" s="71"/>
      <c r="M10" s="71"/>
      <c r="N10" s="72"/>
    </row>
    <row r="11" spans="4:14" ht="20.25" customHeight="1" thickBot="1" x14ac:dyDescent="0.2">
      <c r="D11" s="73" t="s">
        <v>155</v>
      </c>
      <c r="E11" s="74">
        <v>0</v>
      </c>
      <c r="F11" s="74">
        <v>0</v>
      </c>
      <c r="G11" s="74">
        <v>0</v>
      </c>
      <c r="H11" s="74">
        <v>0</v>
      </c>
      <c r="I11" s="74">
        <v>0</v>
      </c>
      <c r="J11" s="74">
        <v>0</v>
      </c>
      <c r="K11" s="74">
        <v>0</v>
      </c>
      <c r="L11" s="74"/>
      <c r="M11" s="74"/>
      <c r="N11" s="75"/>
    </row>
    <row r="12" spans="4:14" ht="20.25" customHeight="1" x14ac:dyDescent="0.15">
      <c r="D12" s="65" t="s">
        <v>149</v>
      </c>
      <c r="E12" s="66">
        <v>1</v>
      </c>
      <c r="F12" s="66">
        <v>2</v>
      </c>
      <c r="G12" s="66">
        <v>1</v>
      </c>
      <c r="H12" s="66">
        <v>2</v>
      </c>
      <c r="I12" s="66">
        <v>3</v>
      </c>
      <c r="J12" s="66">
        <v>1</v>
      </c>
      <c r="K12" s="66">
        <v>2</v>
      </c>
      <c r="L12" s="66">
        <v>2</v>
      </c>
      <c r="M12" s="66"/>
      <c r="N12" s="67"/>
    </row>
    <row r="13" spans="4:14" ht="20.25" customHeight="1" x14ac:dyDescent="0.15">
      <c r="D13" s="68" t="s">
        <v>16</v>
      </c>
      <c r="E13" s="69">
        <v>0</v>
      </c>
      <c r="F13" s="69">
        <v>5</v>
      </c>
      <c r="G13" s="69">
        <v>5</v>
      </c>
      <c r="H13" s="69">
        <v>3</v>
      </c>
      <c r="I13" s="69">
        <v>3</v>
      </c>
      <c r="J13" s="69">
        <v>2</v>
      </c>
      <c r="K13" s="69">
        <v>5</v>
      </c>
      <c r="L13" s="69">
        <v>3</v>
      </c>
      <c r="M13" s="69"/>
      <c r="N13" s="70"/>
    </row>
    <row r="14" spans="4:14" ht="20.25" customHeight="1" x14ac:dyDescent="0.15">
      <c r="D14" s="68" t="s">
        <v>17</v>
      </c>
      <c r="E14" s="69">
        <v>0</v>
      </c>
      <c r="F14" s="69">
        <v>2</v>
      </c>
      <c r="G14" s="69">
        <v>2</v>
      </c>
      <c r="H14" s="69">
        <v>2</v>
      </c>
      <c r="I14" s="69">
        <v>2</v>
      </c>
      <c r="J14" s="69">
        <v>3</v>
      </c>
      <c r="K14" s="69">
        <v>5</v>
      </c>
      <c r="L14" s="69">
        <v>3</v>
      </c>
      <c r="M14" s="69"/>
      <c r="N14" s="70"/>
    </row>
    <row r="15" spans="4:14" ht="20.25" customHeight="1" x14ac:dyDescent="0.15">
      <c r="D15" s="68" t="s">
        <v>164</v>
      </c>
      <c r="E15" s="69">
        <v>3</v>
      </c>
      <c r="F15" s="69">
        <v>3</v>
      </c>
      <c r="G15" s="69">
        <v>7</v>
      </c>
      <c r="H15" s="69">
        <v>2</v>
      </c>
      <c r="I15" s="69">
        <v>2</v>
      </c>
      <c r="J15" s="69">
        <v>2</v>
      </c>
      <c r="K15" s="69">
        <v>4</v>
      </c>
      <c r="L15" s="69">
        <v>4</v>
      </c>
      <c r="M15" s="69"/>
      <c r="N15" s="70"/>
    </row>
    <row r="16" spans="4:14" ht="20.25" customHeight="1" thickBot="1" x14ac:dyDescent="0.2">
      <c r="D16" s="73" t="s">
        <v>165</v>
      </c>
      <c r="E16" s="74">
        <v>0.05</v>
      </c>
      <c r="F16" s="74">
        <v>0.05</v>
      </c>
      <c r="G16" s="74">
        <v>0.05</v>
      </c>
      <c r="H16" s="74">
        <v>0.05</v>
      </c>
      <c r="I16" s="74">
        <v>0.05</v>
      </c>
      <c r="J16" s="74">
        <v>0.05</v>
      </c>
      <c r="K16" s="74">
        <v>0.1</v>
      </c>
      <c r="L16" s="74">
        <v>0.1</v>
      </c>
      <c r="M16" s="74"/>
      <c r="N16" s="75"/>
    </row>
    <row r="17" spans="4:14" ht="20.25" customHeight="1" x14ac:dyDescent="0.15">
      <c r="D17" s="65" t="s">
        <v>18</v>
      </c>
      <c r="E17" s="66">
        <v>6</v>
      </c>
      <c r="F17" s="66">
        <v>20</v>
      </c>
      <c r="G17" s="66">
        <v>10</v>
      </c>
      <c r="H17" s="66">
        <v>20</v>
      </c>
      <c r="I17" s="66">
        <v>20</v>
      </c>
      <c r="J17" s="66">
        <v>10</v>
      </c>
      <c r="K17" s="66">
        <v>10</v>
      </c>
      <c r="L17" s="66">
        <v>5</v>
      </c>
      <c r="M17" s="66"/>
      <c r="N17" s="67"/>
    </row>
    <row r="18" spans="4:14" ht="20.25" customHeight="1" x14ac:dyDescent="0.15">
      <c r="D18" s="68" t="s">
        <v>19</v>
      </c>
      <c r="E18" s="69">
        <v>0</v>
      </c>
      <c r="F18" s="69">
        <v>20</v>
      </c>
      <c r="G18" s="69">
        <v>10</v>
      </c>
      <c r="H18" s="69">
        <v>20</v>
      </c>
      <c r="I18" s="69">
        <v>20</v>
      </c>
      <c r="J18" s="69">
        <v>5</v>
      </c>
      <c r="K18" s="69">
        <v>10</v>
      </c>
      <c r="L18" s="69">
        <v>5</v>
      </c>
      <c r="M18" s="69"/>
      <c r="N18" s="70"/>
    </row>
    <row r="19" spans="4:14" ht="20.25" customHeight="1" thickBot="1" x14ac:dyDescent="0.2">
      <c r="D19" s="73" t="s">
        <v>20</v>
      </c>
      <c r="E19" s="81">
        <v>2</v>
      </c>
      <c r="F19" s="81">
        <v>5</v>
      </c>
      <c r="G19" s="81">
        <v>2</v>
      </c>
      <c r="H19" s="81">
        <v>12</v>
      </c>
      <c r="I19" s="81">
        <v>12</v>
      </c>
      <c r="J19" s="81">
        <v>2</v>
      </c>
      <c r="K19" s="81">
        <v>6</v>
      </c>
      <c r="L19" s="81">
        <v>8</v>
      </c>
      <c r="M19" s="81"/>
      <c r="N19" s="82"/>
    </row>
    <row r="20" spans="4:14" ht="20.25" customHeight="1" x14ac:dyDescent="0.15">
      <c r="D20" s="65" t="s">
        <v>25</v>
      </c>
      <c r="E20" s="66" t="s">
        <v>36</v>
      </c>
      <c r="F20" s="66" t="s">
        <v>36</v>
      </c>
      <c r="G20" s="66" t="s">
        <v>36</v>
      </c>
      <c r="H20" s="66" t="s">
        <v>36</v>
      </c>
      <c r="I20" s="66" t="s">
        <v>36</v>
      </c>
      <c r="J20" s="66" t="s">
        <v>36</v>
      </c>
      <c r="K20" s="66" t="s">
        <v>36</v>
      </c>
      <c r="L20" s="66" t="s">
        <v>36</v>
      </c>
      <c r="M20" s="66" t="s">
        <v>37</v>
      </c>
      <c r="N20" s="67" t="s">
        <v>38</v>
      </c>
    </row>
    <row r="21" spans="4:14" ht="20.25" customHeight="1" x14ac:dyDescent="0.15">
      <c r="D21" s="68" t="s">
        <v>176</v>
      </c>
      <c r="E21" s="69" t="s">
        <v>57</v>
      </c>
      <c r="F21" s="69" t="s">
        <v>57</v>
      </c>
      <c r="G21" s="69" t="s">
        <v>152</v>
      </c>
      <c r="H21" s="69" t="s">
        <v>57</v>
      </c>
      <c r="I21" s="69" t="s">
        <v>57</v>
      </c>
      <c r="J21" s="69" t="s">
        <v>57</v>
      </c>
      <c r="K21" s="69" t="s">
        <v>152</v>
      </c>
      <c r="L21" s="69" t="s">
        <v>152</v>
      </c>
      <c r="M21" s="69" t="s">
        <v>152</v>
      </c>
      <c r="N21" s="70" t="s">
        <v>152</v>
      </c>
    </row>
    <row r="22" spans="4:14" ht="20.25" customHeight="1" thickBot="1" x14ac:dyDescent="0.2">
      <c r="D22" s="73" t="s">
        <v>179</v>
      </c>
      <c r="E22" s="81">
        <v>15</v>
      </c>
      <c r="F22" s="81">
        <v>17</v>
      </c>
      <c r="G22" s="81">
        <v>15</v>
      </c>
      <c r="H22" s="81">
        <v>16</v>
      </c>
      <c r="I22" s="81">
        <v>14</v>
      </c>
      <c r="J22" s="81">
        <v>13</v>
      </c>
      <c r="K22" s="81">
        <v>13</v>
      </c>
      <c r="L22" s="81">
        <v>18</v>
      </c>
      <c r="M22" s="81"/>
      <c r="N22" s="82"/>
    </row>
    <row r="23" spans="4:14" ht="20.25" customHeight="1" thickBot="1" x14ac:dyDescent="0.2">
      <c r="D23" s="76" t="s">
        <v>181</v>
      </c>
      <c r="E23" s="77">
        <v>0</v>
      </c>
      <c r="F23" s="77">
        <v>15</v>
      </c>
      <c r="G23" s="77">
        <v>15</v>
      </c>
      <c r="H23" s="77">
        <v>0</v>
      </c>
      <c r="I23" s="77">
        <v>0</v>
      </c>
      <c r="J23" s="77">
        <v>0</v>
      </c>
      <c r="K23" s="77">
        <v>0</v>
      </c>
      <c r="L23" s="77">
        <v>0</v>
      </c>
      <c r="M23" s="77">
        <v>15</v>
      </c>
      <c r="N23" s="78">
        <v>15</v>
      </c>
    </row>
    <row r="24" spans="4:14" ht="20.25" customHeight="1" x14ac:dyDescent="0.15">
      <c r="D24" s="65" t="s">
        <v>187</v>
      </c>
      <c r="E24" s="89"/>
      <c r="F24" s="89"/>
      <c r="G24" s="89">
        <v>0.2</v>
      </c>
      <c r="H24" s="89"/>
      <c r="I24" s="89">
        <v>0.5</v>
      </c>
      <c r="J24" s="89"/>
      <c r="K24" s="89">
        <v>0</v>
      </c>
      <c r="L24" s="89">
        <v>1</v>
      </c>
      <c r="M24" s="89">
        <v>0</v>
      </c>
      <c r="N24" s="90">
        <v>0</v>
      </c>
    </row>
    <row r="25" spans="4:14" ht="20.25" customHeight="1" x14ac:dyDescent="0.15">
      <c r="D25" s="68" t="s">
        <v>188</v>
      </c>
      <c r="E25" s="71"/>
      <c r="F25" s="71">
        <v>1</v>
      </c>
      <c r="G25" s="71">
        <v>1</v>
      </c>
      <c r="H25" s="71"/>
      <c r="I25" s="71"/>
      <c r="J25" s="71">
        <v>0.5</v>
      </c>
      <c r="K25" s="71">
        <v>0.2</v>
      </c>
      <c r="L25" s="71">
        <v>0.2</v>
      </c>
      <c r="M25" s="71">
        <v>1</v>
      </c>
      <c r="N25" s="71">
        <v>0.2</v>
      </c>
    </row>
    <row r="26" spans="4:14" ht="20.25" customHeight="1" x14ac:dyDescent="0.15">
      <c r="D26" s="68" t="s">
        <v>189</v>
      </c>
      <c r="E26" s="71"/>
      <c r="F26" s="71">
        <v>1</v>
      </c>
      <c r="G26" s="71">
        <v>1</v>
      </c>
      <c r="H26" s="71"/>
      <c r="I26" s="71"/>
      <c r="J26" s="71"/>
      <c r="K26" s="71">
        <v>0</v>
      </c>
      <c r="L26" s="71">
        <v>0.2</v>
      </c>
      <c r="M26" s="71">
        <v>1</v>
      </c>
      <c r="N26" s="72">
        <v>0.2</v>
      </c>
    </row>
    <row r="27" spans="4:14" ht="20.25" customHeight="1" x14ac:dyDescent="0.15">
      <c r="D27" s="68" t="s">
        <v>190</v>
      </c>
      <c r="E27" s="71"/>
      <c r="F27" s="71"/>
      <c r="G27" s="71">
        <v>1</v>
      </c>
      <c r="H27" s="71">
        <v>1</v>
      </c>
      <c r="I27" s="71">
        <v>1</v>
      </c>
      <c r="J27" s="71">
        <v>0.5</v>
      </c>
      <c r="K27" s="71">
        <v>0</v>
      </c>
      <c r="L27" s="71">
        <v>0</v>
      </c>
      <c r="M27" s="71">
        <v>0</v>
      </c>
      <c r="N27" s="71">
        <v>0</v>
      </c>
    </row>
    <row r="28" spans="4:14" ht="20.25" customHeight="1" x14ac:dyDescent="0.15">
      <c r="D28" s="68" t="s">
        <v>191</v>
      </c>
      <c r="E28" s="71">
        <v>0.01</v>
      </c>
      <c r="F28" s="71"/>
      <c r="G28" s="71">
        <v>0.05</v>
      </c>
      <c r="H28" s="71"/>
      <c r="I28" s="71"/>
      <c r="J28" s="71"/>
      <c r="K28" s="71">
        <v>0.01</v>
      </c>
      <c r="L28" s="71">
        <v>0.01</v>
      </c>
      <c r="M28" s="71">
        <v>0.1</v>
      </c>
      <c r="N28" s="72">
        <v>0.01</v>
      </c>
    </row>
    <row r="29" spans="4:14" ht="20.25" customHeight="1" x14ac:dyDescent="0.15">
      <c r="D29" s="68" t="s">
        <v>192</v>
      </c>
      <c r="E29" s="71">
        <v>0.01</v>
      </c>
      <c r="F29" s="71"/>
      <c r="G29" s="71">
        <v>0.2</v>
      </c>
      <c r="H29" s="71"/>
      <c r="I29" s="71"/>
      <c r="J29" s="71"/>
      <c r="K29" s="71">
        <v>0</v>
      </c>
      <c r="L29" s="71">
        <v>0</v>
      </c>
      <c r="M29" s="71">
        <v>0</v>
      </c>
      <c r="N29" s="72">
        <v>0</v>
      </c>
    </row>
    <row r="30" spans="4:14" ht="20.25" customHeight="1" thickBot="1" x14ac:dyDescent="0.2">
      <c r="D30" s="73" t="s">
        <v>193</v>
      </c>
      <c r="E30" s="91">
        <v>30</v>
      </c>
      <c r="F30" s="91">
        <v>30</v>
      </c>
      <c r="G30" s="91">
        <v>30</v>
      </c>
      <c r="H30" s="91">
        <v>30</v>
      </c>
      <c r="I30" s="91">
        <v>50</v>
      </c>
      <c r="J30" s="91">
        <v>30</v>
      </c>
      <c r="K30" s="91">
        <v>30</v>
      </c>
      <c r="L30" s="91">
        <v>30</v>
      </c>
      <c r="M30" s="91">
        <v>30</v>
      </c>
      <c r="N30" s="92">
        <v>30</v>
      </c>
    </row>
  </sheetData>
  <phoneticPr fontId="9" type="noConversion"/>
  <dataValidations count="2">
    <dataValidation type="list" sqref="E8:N8 E21:N21" xr:uid="{00000000-0002-0000-0200-000000000000}">
      <formula1>"Y,N"</formula1>
    </dataValidation>
    <dataValidation type="list" showInputMessage="1" promptTitle="Choose Weapon Quality" prompt="Average, Good (minor bonuses), Excellent (Magic, major bonuses)" sqref="E20:N20" xr:uid="{00000000-0002-0000-0200-000001000000}">
      <formula1>"Average,Good,Excellent"</formula1>
    </dataValidation>
  </dataValidations>
  <pageMargins left="0.7" right="0.7" top="0.75" bottom="0.75" header="0.3" footer="0.3"/>
  <pageSetup paperSize="9"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67"/>
  <sheetViews>
    <sheetView showGridLines="0" workbookViewId="0">
      <pane ySplit="2" topLeftCell="A13" activePane="bottomLeft" state="frozenSplit"/>
      <selection pane="bottomLeft" activeCell="C28" sqref="C28"/>
    </sheetView>
  </sheetViews>
  <sheetFormatPr baseColWidth="10" defaultColWidth="8.83203125" defaultRowHeight="13" x14ac:dyDescent="0.15"/>
  <cols>
    <col min="2" max="2" width="55" bestFit="1" customWidth="1"/>
    <col min="3" max="4" width="26.5" customWidth="1"/>
  </cols>
  <sheetData>
    <row r="2" spans="2:4" ht="30" customHeight="1" x14ac:dyDescent="0.15">
      <c r="C2" s="87" t="str">
        <f>cForce1</f>
        <v>Big Chief Demoneater - Ogres with Hill Giant Officers and Commander</v>
      </c>
      <c r="D2" s="88" t="str">
        <f>cForce2</f>
        <v>Feonor's Golden Gloom - Ghouls with Ghast Officers and Archmage Commander</v>
      </c>
    </row>
    <row r="3" spans="2:4" x14ac:dyDescent="0.15">
      <c r="B3" s="59" t="s">
        <v>96</v>
      </c>
      <c r="C3" s="60" t="e">
        <f t="shared" ref="C3:D11" si="0">HLOOKUP(C$2,tForces,ROW(C3)-1,FALSE)</f>
        <v>#NAME?</v>
      </c>
      <c r="D3" s="60" t="e">
        <f t="shared" si="0"/>
        <v>#NAME?</v>
      </c>
    </row>
    <row r="4" spans="2:4" x14ac:dyDescent="0.15">
      <c r="B4" s="59" t="s">
        <v>7</v>
      </c>
      <c r="C4" s="61" t="e">
        <f t="shared" si="0"/>
        <v>#NAME?</v>
      </c>
      <c r="D4" s="61" t="e">
        <f t="shared" si="0"/>
        <v>#NAME?</v>
      </c>
    </row>
    <row r="5" spans="2:4" x14ac:dyDescent="0.15">
      <c r="B5" s="59" t="s">
        <v>156</v>
      </c>
      <c r="C5" s="61" t="e">
        <f t="shared" si="0"/>
        <v>#NAME?</v>
      </c>
      <c r="D5" s="61" t="e">
        <f t="shared" si="0"/>
        <v>#NAME?</v>
      </c>
    </row>
    <row r="6" spans="2:4" x14ac:dyDescent="0.15">
      <c r="B6" s="59" t="s">
        <v>157</v>
      </c>
      <c r="C6" s="61" t="e">
        <f t="shared" si="0"/>
        <v>#NAME?</v>
      </c>
      <c r="D6" s="61" t="e">
        <f t="shared" si="0"/>
        <v>#NAME?</v>
      </c>
    </row>
    <row r="7" spans="2:4" x14ac:dyDescent="0.15">
      <c r="B7" s="59" t="s">
        <v>158</v>
      </c>
      <c r="C7" s="61" t="e">
        <f t="shared" si="0"/>
        <v>#NAME?</v>
      </c>
      <c r="D7" s="61" t="e">
        <f t="shared" si="0"/>
        <v>#NAME?</v>
      </c>
    </row>
    <row r="8" spans="2:4" x14ac:dyDescent="0.15">
      <c r="B8" s="59" t="s">
        <v>159</v>
      </c>
      <c r="C8" s="61" t="e">
        <f t="shared" si="0"/>
        <v>#NAME?</v>
      </c>
      <c r="D8" s="61" t="e">
        <f t="shared" si="0"/>
        <v>#NAME?</v>
      </c>
    </row>
    <row r="9" spans="2:4" x14ac:dyDescent="0.15">
      <c r="B9" s="59" t="s">
        <v>160</v>
      </c>
      <c r="C9" s="62" t="e">
        <f t="shared" si="0"/>
        <v>#NAME?</v>
      </c>
      <c r="D9" s="62" t="e">
        <f t="shared" si="0"/>
        <v>#NAME?</v>
      </c>
    </row>
    <row r="10" spans="2:4" x14ac:dyDescent="0.15">
      <c r="B10" s="59" t="s">
        <v>161</v>
      </c>
      <c r="C10" s="62" t="e">
        <f t="shared" si="0"/>
        <v>#NAME?</v>
      </c>
      <c r="D10" s="62" t="e">
        <f t="shared" si="0"/>
        <v>#NAME?</v>
      </c>
    </row>
    <row r="11" spans="2:4" x14ac:dyDescent="0.15">
      <c r="B11" s="59" t="s">
        <v>162</v>
      </c>
      <c r="C11" s="62" t="e">
        <f t="shared" si="0"/>
        <v>#NAME?</v>
      </c>
      <c r="D11" s="62" t="e">
        <f t="shared" si="0"/>
        <v>#NAME?</v>
      </c>
    </row>
    <row r="12" spans="2:4" x14ac:dyDescent="0.15">
      <c r="B12" s="63" t="s">
        <v>163</v>
      </c>
      <c r="C12" s="64" t="e">
        <f>C4+INT((C5-10)/2)+INT((C6-10)/2)+INT((C7-10)/2)+IF(C8="y",5,0)+C9+C10*2+C11*3</f>
        <v>#NAME?</v>
      </c>
      <c r="D12" s="64" t="e">
        <f>D4+INT((D5-10)/2)+INT((D6-10)/2)+INT((D7-10)/2)+IF(D8="y",5,0)+INT(D9*100)+INT(D10*200)+INT(D11*300)</f>
        <v>#NAME?</v>
      </c>
    </row>
    <row r="13" spans="2:4" x14ac:dyDescent="0.15">
      <c r="B13" s="59" t="s">
        <v>166</v>
      </c>
      <c r="C13" s="61" t="e">
        <f t="shared" ref="C13:D17" si="1">HLOOKUP(C$2,tForces,ROW(C13)-2,FALSE)</f>
        <v>#NAME?</v>
      </c>
      <c r="D13" s="61" t="e">
        <f t="shared" si="1"/>
        <v>#NAME?</v>
      </c>
    </row>
    <row r="14" spans="2:4" x14ac:dyDescent="0.15">
      <c r="B14" s="59" t="s">
        <v>167</v>
      </c>
      <c r="C14" s="61" t="e">
        <f t="shared" si="1"/>
        <v>#NAME?</v>
      </c>
      <c r="D14" s="61" t="e">
        <f t="shared" si="1"/>
        <v>#NAME?</v>
      </c>
    </row>
    <row r="15" spans="2:4" x14ac:dyDescent="0.15">
      <c r="B15" s="59" t="s">
        <v>168</v>
      </c>
      <c r="C15" s="61" t="e">
        <f t="shared" si="1"/>
        <v>#NAME?</v>
      </c>
      <c r="D15" s="61" t="e">
        <f t="shared" si="1"/>
        <v>#NAME?</v>
      </c>
    </row>
    <row r="16" spans="2:4" x14ac:dyDescent="0.15">
      <c r="B16" s="59" t="s">
        <v>169</v>
      </c>
      <c r="C16" s="61" t="e">
        <f t="shared" si="1"/>
        <v>#NAME?</v>
      </c>
      <c r="D16" s="61" t="e">
        <f t="shared" si="1"/>
        <v>#NAME?</v>
      </c>
    </row>
    <row r="17" spans="2:4" x14ac:dyDescent="0.15">
      <c r="B17" s="59" t="s">
        <v>170</v>
      </c>
      <c r="C17" s="62" t="e">
        <f t="shared" si="1"/>
        <v>#NAME?</v>
      </c>
      <c r="D17" s="62" t="e">
        <f t="shared" si="1"/>
        <v>#NAME?</v>
      </c>
    </row>
    <row r="18" spans="2:4" x14ac:dyDescent="0.15">
      <c r="B18" s="63" t="s">
        <v>171</v>
      </c>
      <c r="C18" s="64" t="e">
        <f>C13*2+MIN(C14,10)-MIN(C15,10)+IF(C17&gt;0.025,C16*3,0)</f>
        <v>#NAME?</v>
      </c>
      <c r="D18" s="64" t="e">
        <f>D13*2+MIN(D14,10)-MIN(D15,10)+IF(D17&gt;0.025,D16*3,0)</f>
        <v>#NAME?</v>
      </c>
    </row>
    <row r="19" spans="2:4" x14ac:dyDescent="0.15">
      <c r="B19" s="59" t="s">
        <v>172</v>
      </c>
      <c r="C19" s="61" t="e">
        <f t="shared" ref="C19:D21" si="2">HLOOKUP(C$2,tForces,ROW(C19)-3,FALSE)</f>
        <v>#NAME?</v>
      </c>
      <c r="D19" s="61" t="e">
        <f t="shared" si="2"/>
        <v>#NAME?</v>
      </c>
    </row>
    <row r="20" spans="2:4" x14ac:dyDescent="0.15">
      <c r="B20" s="59" t="s">
        <v>173</v>
      </c>
      <c r="C20" s="61" t="e">
        <f t="shared" si="2"/>
        <v>#NAME?</v>
      </c>
      <c r="D20" s="61" t="e">
        <f t="shared" si="2"/>
        <v>#NAME?</v>
      </c>
    </row>
    <row r="21" spans="2:4" x14ac:dyDescent="0.15">
      <c r="B21" s="59" t="s">
        <v>174</v>
      </c>
      <c r="C21" s="61" t="e">
        <f t="shared" si="2"/>
        <v>#NAME?</v>
      </c>
      <c r="D21" s="61" t="e">
        <f t="shared" si="2"/>
        <v>#NAME?</v>
      </c>
    </row>
    <row r="22" spans="2:4" x14ac:dyDescent="0.15">
      <c r="B22" s="63" t="s">
        <v>175</v>
      </c>
      <c r="C22" s="64" t="e">
        <f>SUM(C19:C21)</f>
        <v>#NAME?</v>
      </c>
      <c r="D22" s="64" t="e">
        <f>SUM(D19:D21)</f>
        <v>#NAME?</v>
      </c>
    </row>
    <row r="23" spans="2:4" x14ac:dyDescent="0.15">
      <c r="B23" s="59" t="s">
        <v>25</v>
      </c>
      <c r="C23" s="61" t="e">
        <f t="shared" ref="C23:D25" si="3">HLOOKUP(C$2,tForces,ROW(C23)-4,FALSE)</f>
        <v>#NAME?</v>
      </c>
      <c r="D23" s="61" t="e">
        <f t="shared" si="3"/>
        <v>#NAME?</v>
      </c>
    </row>
    <row r="24" spans="2:4" x14ac:dyDescent="0.15">
      <c r="B24" s="59" t="s">
        <v>177</v>
      </c>
      <c r="C24" s="61" t="e">
        <f t="shared" si="3"/>
        <v>#NAME?</v>
      </c>
      <c r="D24" s="61" t="e">
        <f t="shared" si="3"/>
        <v>#NAME?</v>
      </c>
    </row>
    <row r="25" spans="2:4" x14ac:dyDescent="0.15">
      <c r="B25" s="59" t="s">
        <v>178</v>
      </c>
      <c r="C25" s="61" t="e">
        <f t="shared" si="3"/>
        <v>#NAME?</v>
      </c>
      <c r="D25" s="61" t="e">
        <f t="shared" si="3"/>
        <v>#NAME?</v>
      </c>
    </row>
    <row r="26" spans="2:4" x14ac:dyDescent="0.15">
      <c r="B26" s="63" t="s">
        <v>180</v>
      </c>
      <c r="C26" s="64" t="e">
        <f>IF(C23="Average",5,IF(C23="Good",10,150))+IF(C24="Y",5,0)+C25-10</f>
        <v>#NAME?</v>
      </c>
      <c r="D26" s="64" t="e">
        <f>IF(D23="Average",5,IF(D23="Good",10,150))+IF(D24="Y",5,0)+D25-10</f>
        <v>#NAME?</v>
      </c>
    </row>
    <row r="27" spans="2:4" x14ac:dyDescent="0.15">
      <c r="B27" s="63" t="s">
        <v>182</v>
      </c>
      <c r="C27" s="64" t="e">
        <f>HLOOKUP(C$2,tForces,ROW(C27)-5,FALSE)</f>
        <v>#NAME?</v>
      </c>
      <c r="D27" s="64" t="e">
        <f>HLOOKUP(D$2,tForces,ROW(D27)-5,FALSE)</f>
        <v>#NAME?</v>
      </c>
    </row>
    <row r="28" spans="2:4" x14ac:dyDescent="0.15">
      <c r="B28" s="83" t="s">
        <v>183</v>
      </c>
      <c r="C28" s="84" t="e">
        <f>C12+C18+C22+C26+C27</f>
        <v>#NAME?</v>
      </c>
      <c r="D28" s="84" t="e">
        <f>D12+D18+D22+D26+D27</f>
        <v>#NAME?</v>
      </c>
    </row>
    <row r="29" spans="2:4" x14ac:dyDescent="0.15">
      <c r="B29" s="83" t="s">
        <v>184</v>
      </c>
      <c r="C29" s="84" t="e">
        <f>VLOOKUP(cBFR1,tTroopClass,2,TRUE)</f>
        <v>#NAME?</v>
      </c>
      <c r="D29" s="84" t="e">
        <f>VLOOKUP(cBFR2,tTroopClass,2,TRUE)</f>
        <v>#NAME?</v>
      </c>
    </row>
    <row r="30" spans="2:4" x14ac:dyDescent="0.15">
      <c r="B30" s="59" t="s">
        <v>187</v>
      </c>
      <c r="C30" s="62" t="e">
        <f t="shared" ref="C30:D36" si="4">HLOOKUP(C$2,tForces,ROW(C30)-7,FALSE)</f>
        <v>#NAME?</v>
      </c>
      <c r="D30" s="62" t="e">
        <f t="shared" si="4"/>
        <v>#NAME?</v>
      </c>
    </row>
    <row r="31" spans="2:4" x14ac:dyDescent="0.15">
      <c r="B31" s="59" t="s">
        <v>188</v>
      </c>
      <c r="C31" s="62" t="e">
        <f t="shared" si="4"/>
        <v>#NAME?</v>
      </c>
      <c r="D31" s="62" t="e">
        <f t="shared" si="4"/>
        <v>#NAME?</v>
      </c>
    </row>
    <row r="32" spans="2:4" x14ac:dyDescent="0.15">
      <c r="B32" s="59" t="s">
        <v>189</v>
      </c>
      <c r="C32" s="62" t="e">
        <f t="shared" si="4"/>
        <v>#NAME?</v>
      </c>
      <c r="D32" s="62" t="e">
        <f t="shared" si="4"/>
        <v>#NAME?</v>
      </c>
    </row>
    <row r="33" spans="2:4" x14ac:dyDescent="0.15">
      <c r="B33" s="59" t="s">
        <v>190</v>
      </c>
      <c r="C33" s="62" t="e">
        <f t="shared" si="4"/>
        <v>#NAME?</v>
      </c>
      <c r="D33" s="62" t="e">
        <f t="shared" si="4"/>
        <v>#NAME?</v>
      </c>
    </row>
    <row r="34" spans="2:4" x14ac:dyDescent="0.15">
      <c r="B34" s="59" t="s">
        <v>191</v>
      </c>
      <c r="C34" s="62" t="e">
        <f t="shared" si="4"/>
        <v>#NAME?</v>
      </c>
      <c r="D34" s="62" t="e">
        <f t="shared" si="4"/>
        <v>#NAME?</v>
      </c>
    </row>
    <row r="35" spans="2:4" x14ac:dyDescent="0.15">
      <c r="B35" s="59" t="s">
        <v>192</v>
      </c>
      <c r="C35" s="62" t="e">
        <f t="shared" si="4"/>
        <v>#NAME?</v>
      </c>
      <c r="D35" s="62" t="e">
        <f t="shared" si="4"/>
        <v>#NAME?</v>
      </c>
    </row>
    <row r="36" spans="2:4" x14ac:dyDescent="0.15">
      <c r="B36" s="59" t="s">
        <v>193</v>
      </c>
      <c r="C36" s="61" t="e">
        <f t="shared" si="4"/>
        <v>#NAME?</v>
      </c>
      <c r="D36" s="61" t="e">
        <f t="shared" si="4"/>
        <v>#NAME?</v>
      </c>
    </row>
    <row r="37" spans="2:4" x14ac:dyDescent="0.15">
      <c r="B37" s="63" t="s">
        <v>51</v>
      </c>
      <c r="C37" s="64" t="e">
        <f>IF(C30&gt;=0.5,1,0)+IF(C30&gt;=0.2,1,0)+IF(C31&gt;=0.2,1,0)+IF(C32&gt;=0.2,1,0)+IF(C33&gt;=0.01,1,0)+IF(C33&gt;=0.2,1,0)+IF(C33&gt;=1,1,0)+IF(C34&gt;=0.05,1,0)+IF(C34&gt;=0.3,1,0)+IF(C35&gt;=0.01,1,0)+IF(C35&gt;=0.2,1,0)+IF(C36&gt;=40,1,0)</f>
        <v>#NAME?</v>
      </c>
      <c r="D37" s="64" t="e">
        <f>IF(D30&gt;=0.5,1,0)+IF(D30&gt;=0.2,1,0)+IF(D31&gt;=0.2,1,0)+IF(D32&gt;=0.2,1,0)+IF(D33&gt;=0.01,1,0)+IF(D33&gt;=0.2,1,0)+IF(D33&gt;=1,1,0)+IF(D34&gt;=0.05,1,0)+IF(D34&gt;=0.3,1,0)+IF(D35&gt;=0.01,1,0)+IF(D35&gt;=0.2,1,0)+IF(D36&gt;=40,1,0)</f>
        <v>#NAME?</v>
      </c>
    </row>
    <row r="38" spans="2:4" x14ac:dyDescent="0.15">
      <c r="B38" s="83" t="s">
        <v>194</v>
      </c>
      <c r="C38" s="84" t="e">
        <f>INT(C28*(1+C37*0.1))</f>
        <v>#NAME?</v>
      </c>
      <c r="D38" s="84" t="e">
        <f>INT(D28*(1+D37*0.1))</f>
        <v>#NAME?</v>
      </c>
    </row>
    <row r="40" spans="2:4" x14ac:dyDescent="0.15">
      <c r="B40" s="63" t="s">
        <v>52</v>
      </c>
      <c r="C40" s="64" t="e">
        <f>IF(C3&gt;D3,VLOOKUP(C3/D3,tRatio,2),0)</f>
        <v>#NAME?</v>
      </c>
      <c r="D40" s="64" t="e">
        <f>IF(D3&gt;C3,VLOOKUP(D3/C3,tRatio,2),0)</f>
        <v>#NAME?</v>
      </c>
    </row>
    <row r="41" spans="2:4" x14ac:dyDescent="0.15">
      <c r="B41" s="59" t="s">
        <v>203</v>
      </c>
      <c r="C41" s="61" t="e">
        <f>VLOOKUP(cBFR1,tTroopClass,3,TRUE)</f>
        <v>#NAME?</v>
      </c>
      <c r="D41" s="61" t="e">
        <f>VLOOKUP(cBFR2,tTroopClass,3,TRUE)</f>
        <v>#NAME?</v>
      </c>
    </row>
    <row r="42" spans="2:4" x14ac:dyDescent="0.15">
      <c r="B42" s="59" t="str">
        <f>Main!B52</f>
        <v>In Dominion of their Liege ?</v>
      </c>
      <c r="C42" s="61" t="str">
        <f>Main!C52</f>
        <v>No</v>
      </c>
      <c r="D42" s="61" t="str">
        <f>Main!D52</f>
        <v>No</v>
      </c>
    </row>
    <row r="43" spans="2:4" x14ac:dyDescent="0.15">
      <c r="B43" s="59" t="str">
        <f>Main!B54</f>
        <v>Have beaten this foe before?</v>
      </c>
      <c r="C43" s="61" t="str">
        <f>Main!C54</f>
        <v>No</v>
      </c>
      <c r="D43" s="61" t="str">
        <f>Main!D54</f>
        <v>No</v>
      </c>
    </row>
    <row r="44" spans="2:4" x14ac:dyDescent="0.15">
      <c r="B44" s="59" t="str">
        <f>Main!B56</f>
        <v>Have received mercy from foe within one year ?</v>
      </c>
      <c r="C44" s="61" t="str">
        <f>Main!C56</f>
        <v>No</v>
      </c>
      <c r="D44" s="61" t="str">
        <f>Main!D56</f>
        <v>No</v>
      </c>
    </row>
    <row r="45" spans="2:4" x14ac:dyDescent="0.15">
      <c r="B45" s="59" t="str">
        <f>Main!B58</f>
        <v>Attacking an enemy "on the march" ?</v>
      </c>
      <c r="C45" s="61" t="str">
        <f>Main!C58</f>
        <v>No</v>
      </c>
      <c r="D45" s="61" t="str">
        <f>Main!D58</f>
        <v>No</v>
      </c>
    </row>
    <row r="46" spans="2:4" x14ac:dyDescent="0.15">
      <c r="B46" s="59" t="str">
        <f>Main!B60</f>
        <v>Any accompanying force has been routed ?</v>
      </c>
      <c r="C46" s="61" t="str">
        <f>Main!C60</f>
        <v>No</v>
      </c>
      <c r="D46" s="61" t="str">
        <f>Main!D60</f>
        <v>No</v>
      </c>
    </row>
    <row r="47" spans="2:4" x14ac:dyDescent="0.15">
      <c r="B47" s="63" t="s">
        <v>58</v>
      </c>
      <c r="C47" s="64" t="e">
        <f>IF(C41&gt;=D41+2,10,0)+IF(C41&gt;=D41+4,10,0)+IF(C42="Yes",10,0)+IF(C43="Yes",10,0)+IF(C44="Yes",-20,0)+IF(C45="Yes",30,0)+IF(C46="Yes",-10,0)</f>
        <v>#NAME?</v>
      </c>
      <c r="D47" s="64" t="e">
        <f>IF(D41&gt;=C41+2,10,0)+IF(D41&gt;=C41+4,10,0)+IF(D42="Yes",10,0)+IF(D43="Yes",10,0)+IF(D44="Yes",-20,0)+IF(D45="Yes",30,0)+IF(D46="Yes",-10,0)</f>
        <v>#NAME?</v>
      </c>
    </row>
    <row r="48" spans="2:4" x14ac:dyDescent="0.15">
      <c r="B48" s="59" t="str">
        <f>Main!B65</f>
        <v>In extremely favorable environment ?</v>
      </c>
      <c r="C48" s="61" t="str">
        <f>Main!C65</f>
        <v>No</v>
      </c>
      <c r="D48" s="61" t="str">
        <f>Main!D65</f>
        <v>No</v>
      </c>
    </row>
    <row r="49" spans="2:4" x14ac:dyDescent="0.15">
      <c r="B49" s="59" t="str">
        <f>Main!B67</f>
        <v>In extremely unfavorable environment ?</v>
      </c>
      <c r="C49" s="61" t="str">
        <f>Main!C67</f>
        <v>No</v>
      </c>
      <c r="D49" s="61" t="str">
        <f>Main!D67</f>
        <v>No</v>
      </c>
    </row>
    <row r="50" spans="2:4" x14ac:dyDescent="0.15">
      <c r="B50" s="59" t="str">
        <f>Main!B69</f>
        <v>Night battle and the entire force has darkvision ?</v>
      </c>
      <c r="C50" s="61" t="str">
        <f>Main!C69</f>
        <v>No</v>
      </c>
      <c r="D50" s="61" t="str">
        <f>Main!D69</f>
        <v>No</v>
      </c>
    </row>
    <row r="51" spans="2:4" x14ac:dyDescent="0.15">
      <c r="B51" s="63" t="s">
        <v>61</v>
      </c>
      <c r="C51" s="64">
        <f>+IF(C48="Yes",25,0)+IF(C49="Yes",-25,0)+IF(C50="Yes",20,0)</f>
        <v>0</v>
      </c>
      <c r="D51" s="64">
        <f>+IF(D48="Yes",25,0)+IF(D49="Yes",-25,0)+IF(D50="Yes",20,0)</f>
        <v>0</v>
      </c>
    </row>
    <row r="52" spans="2:4" x14ac:dyDescent="0.15">
      <c r="B52" s="59" t="str">
        <f>Main!B74</f>
        <v>Higher than Opponent ?</v>
      </c>
      <c r="C52" s="94" t="s">
        <v>199</v>
      </c>
      <c r="D52" s="61" t="str">
        <f>Main!D74</f>
        <v>No</v>
      </c>
    </row>
    <row r="53" spans="2:4" x14ac:dyDescent="0.15">
      <c r="B53" s="59" t="str">
        <f>Main!B76</f>
        <v>Halflings in Fields or Woods ?</v>
      </c>
      <c r="C53" s="61" t="str">
        <f>Main!C76</f>
        <v>No</v>
      </c>
      <c r="D53" s="61" t="str">
        <f>Main!D76</f>
        <v>No</v>
      </c>
    </row>
    <row r="54" spans="2:4" x14ac:dyDescent="0.15">
      <c r="B54" s="59" t="str">
        <f>Main!B78</f>
        <v>Elves in Woods ?</v>
      </c>
      <c r="C54" s="61" t="str">
        <f>Main!C78</f>
        <v>No</v>
      </c>
      <c r="D54" s="61" t="str">
        <f>Main!D78</f>
        <v>No</v>
      </c>
    </row>
    <row r="55" spans="2:4" x14ac:dyDescent="0.15">
      <c r="B55" s="59" t="str">
        <f>Main!B80</f>
        <v>Dwarves in Mountains ?</v>
      </c>
      <c r="C55" s="61" t="str">
        <f>Main!C80</f>
        <v>No</v>
      </c>
      <c r="D55" s="61" t="str">
        <f>Main!D80</f>
        <v>No</v>
      </c>
    </row>
    <row r="56" spans="2:4" x14ac:dyDescent="0.15">
      <c r="B56" s="59" t="str">
        <f>Main!B82</f>
        <v>Mounted in Moutains / Woods / Stronghold ?</v>
      </c>
      <c r="C56" s="61" t="str">
        <f>Main!C82</f>
        <v>No</v>
      </c>
      <c r="D56" s="61" t="str">
        <f>Main!D82</f>
        <v>No</v>
      </c>
    </row>
    <row r="57" spans="2:4" x14ac:dyDescent="0.15">
      <c r="B57" s="59" t="str">
        <f>Main!B84</f>
        <v>Mire / Marsh / Mud (If Affected) ?</v>
      </c>
      <c r="C57" s="61" t="str">
        <f>Main!C84</f>
        <v>No</v>
      </c>
      <c r="D57" s="61" t="str">
        <f>Main!D84</f>
        <v>No</v>
      </c>
    </row>
    <row r="58" spans="2:4" x14ac:dyDescent="0.15">
      <c r="B58" s="59" t="str">
        <f>Main!B86</f>
        <v>Shifting Ground / Snow / Sand (If Affected) ?</v>
      </c>
      <c r="C58" s="61" t="str">
        <f>Main!C86</f>
        <v>No</v>
      </c>
      <c r="D58" s="61" t="str">
        <f>Main!D86</f>
        <v>No</v>
      </c>
    </row>
    <row r="59" spans="2:4" x14ac:dyDescent="0.15">
      <c r="B59" s="63" t="s">
        <v>74</v>
      </c>
      <c r="C59" s="64">
        <f>IF(C52="Yes",20,0)+IF(C53="Yes",20,0)+IF(C54="Yes",10,0)+IF(C55="Yes",20,0)+IF(C56="Yes",-20,0)+IF(C57="Yes",-20,0)+IF(C58="Yes",-10,0)</f>
        <v>20</v>
      </c>
      <c r="D59" s="64">
        <f>IF(D52="Yes",20,0)+IF(D53="Yes",20,0)+IF(D54="Yes",10,0)+IF(D55="Yes",20,0)+IF(D56="Yes",-20,0)+IF(D57="Yes",-20,0)+IF(D58="Yes",-10,0)</f>
        <v>0</v>
      </c>
    </row>
    <row r="60" spans="2:4" x14ac:dyDescent="0.15">
      <c r="B60" s="59" t="str">
        <f>Main!B91</f>
        <v xml:space="preserve"> Defender Holding Ground ?</v>
      </c>
      <c r="C60" s="61" t="str">
        <f>Main!C91</f>
        <v>No</v>
      </c>
      <c r="D60" s="61" t="str">
        <f>Main!D91</f>
        <v>No</v>
      </c>
    </row>
    <row r="61" spans="2:4" x14ac:dyDescent="0.15">
      <c r="B61" s="59" t="str">
        <f>Main!B93</f>
        <v>Defending Narrow Defile, Pass, or Bridge ?</v>
      </c>
      <c r="C61" s="61" t="str">
        <f>Main!C93</f>
        <v>No</v>
      </c>
      <c r="D61" s="61" t="str">
        <f>Main!D93</f>
        <v>No</v>
      </c>
    </row>
    <row r="62" spans="2:4" x14ac:dyDescent="0.15">
      <c r="B62" s="59" t="str">
        <f>Main!B95</f>
        <v>Attacker must Cross Deep Water ?</v>
      </c>
      <c r="C62" s="61" t="str">
        <f>Main!C95</f>
        <v>No</v>
      </c>
      <c r="D62" s="61" t="str">
        <f>Main!D95</f>
        <v>No</v>
      </c>
    </row>
    <row r="63" spans="2:4" x14ac:dyDescent="0.15">
      <c r="B63" s="59" t="str">
        <f>Main!B97</f>
        <v>Defending in Mountains, Hills, Rough Terrain or Behind a Wall ?</v>
      </c>
      <c r="C63" s="61" t="str">
        <f>Main!C97</f>
        <v>No</v>
      </c>
      <c r="D63" s="61" t="str">
        <f>Main!D97</f>
        <v>No</v>
      </c>
    </row>
    <row r="64" spans="2:4" x14ac:dyDescent="0.15">
      <c r="B64" s="59" t="str">
        <f>Main!B99</f>
        <v>Defending in Stronghold ?</v>
      </c>
      <c r="C64" s="61" t="str">
        <f>Main!C99</f>
        <v>No</v>
      </c>
      <c r="D64" s="61" t="str">
        <f>Main!D99</f>
        <v>No</v>
      </c>
    </row>
    <row r="65" spans="2:4" x14ac:dyDescent="0.15">
      <c r="B65" s="63" t="s">
        <v>213</v>
      </c>
      <c r="C65" s="64">
        <f>IF(C60="Yes",10,0)+IF(C61="Yes",50,0)+IF(C62="Yes",40,0)+IF(C63="Yes",20,0)+IF(C64="Yes",50,0)</f>
        <v>0</v>
      </c>
      <c r="D65" s="64">
        <f>IF(D60="Yes",10,0)+IF(D61="Yes",50,0)+IF(D62="Yes",40,0)+IF(D63="Yes",20,0)+IF(D64="Yes",50,0)</f>
        <v>0</v>
      </c>
    </row>
    <row r="66" spans="2:4" x14ac:dyDescent="0.15">
      <c r="B66" s="59" t="e">
        <f>Main!#REF!</f>
        <v>#REF!</v>
      </c>
      <c r="C66" s="61" t="e">
        <f>Main!#REF!</f>
        <v>#REF!</v>
      </c>
      <c r="D66" s="61" t="e">
        <f>Main!#REF!</f>
        <v>#REF!</v>
      </c>
    </row>
    <row r="67" spans="2:4" x14ac:dyDescent="0.15">
      <c r="B67" s="63" t="s">
        <v>76</v>
      </c>
      <c r="C67" s="64">
        <f>J45</f>
        <v>0</v>
      </c>
      <c r="D67" s="64" t="e">
        <f>IF(D66="Yes",150,0)+IF(#REF!="Yes",75,0)+IF(#REF!="Yes",50,0)+IF(#REF!="Yes",20,0)</f>
        <v>#REF!</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zoomScaleNormal="100" workbookViewId="0">
      <pane xSplit="2" ySplit="2" topLeftCell="C3" activePane="bottomRight" state="frozen"/>
      <selection pane="topRight" activeCell="C1" sqref="C1"/>
      <selection pane="bottomLeft" activeCell="A3" sqref="A3"/>
      <selection pane="bottomRight" activeCell="D111" sqref="D111"/>
    </sheetView>
  </sheetViews>
  <sheetFormatPr baseColWidth="10" defaultColWidth="9.1640625" defaultRowHeight="13" outlineLevelRow="1" x14ac:dyDescent="0.15"/>
  <cols>
    <col min="1" max="1" width="9.1640625" style="57"/>
    <col min="2" max="2" width="55" style="57" bestFit="1" customWidth="1"/>
    <col min="3" max="4" width="34.6640625" style="57" customWidth="1"/>
    <col min="5" max="5" width="9.1640625" style="57"/>
    <col min="6" max="6" width="22" style="57" customWidth="1"/>
    <col min="7" max="16384" width="9.1640625" style="57"/>
  </cols>
  <sheetData>
    <row r="1" spans="2:4" ht="6" customHeight="1" x14ac:dyDescent="0.15"/>
    <row r="2" spans="2:4" ht="28" x14ac:dyDescent="0.15">
      <c r="C2" s="87" t="s">
        <v>322</v>
      </c>
      <c r="D2" s="88" t="s">
        <v>326</v>
      </c>
    </row>
    <row r="3" spans="2:4" ht="20.25" customHeight="1" x14ac:dyDescent="0.15">
      <c r="B3" s="241" t="s">
        <v>6</v>
      </c>
      <c r="C3" s="86">
        <v>30</v>
      </c>
      <c r="D3" s="86">
        <v>25</v>
      </c>
    </row>
    <row r="4" spans="2:4" hidden="1" outlineLevel="1" x14ac:dyDescent="0.15">
      <c r="B4" s="232"/>
      <c r="C4" s="233">
        <f>IF(cNumTroops1&gt;cNumTroops2,VLOOKUP(cNumTroops1/cNumTroops2,tRatio,2,TRUE),0)</f>
        <v>0</v>
      </c>
      <c r="D4" s="233">
        <f>IF(cNumTroops2&gt;cNumTroops1,VLOOKUP(cNumTroops2/cNumTroops1,tRatio,2,TRUE),0)</f>
        <v>0</v>
      </c>
    </row>
    <row r="5" spans="2:4" ht="20.25" customHeight="1" collapsed="1" x14ac:dyDescent="0.15">
      <c r="B5" s="241" t="s">
        <v>185</v>
      </c>
      <c r="C5" s="86">
        <f>HLOOKUP(cForce1,tUnitsStats,27,FALSE)</f>
        <v>69</v>
      </c>
      <c r="D5" s="86">
        <f>HLOOKUP(cForce2,tUnitsStats,27,FALSE)</f>
        <v>75</v>
      </c>
    </row>
    <row r="6" spans="2:4" ht="20.25" customHeight="1" x14ac:dyDescent="0.15">
      <c r="B6" s="241" t="s">
        <v>186</v>
      </c>
      <c r="C6" s="86" t="str">
        <f>HLOOKUP(cForce1,tUnitsStats,28,FALSE)</f>
        <v>Average</v>
      </c>
      <c r="D6" s="86" t="str">
        <f>HLOOKUP(cForce2,tUnitsStats,28,FALSE)</f>
        <v>Fair</v>
      </c>
    </row>
    <row r="7" spans="2:4" hidden="1" outlineLevel="1" x14ac:dyDescent="0.15">
      <c r="B7" s="235"/>
      <c r="C7" s="236">
        <f>IF(C5&gt;0,VLOOKUP(C5,tTroopClass,3,TRUE),"")</f>
        <v>3</v>
      </c>
      <c r="D7" s="236">
        <f>IF(D5&gt;0,VLOOKUP(D5,tTroopClass,3,TRUE),"")</f>
        <v>4</v>
      </c>
    </row>
    <row r="8" spans="2:4" ht="20.25" customHeight="1" collapsed="1" x14ac:dyDescent="0.15">
      <c r="B8" s="241" t="s">
        <v>194</v>
      </c>
      <c r="C8" s="86">
        <f>HLOOKUP(cForce1,tUnitsStats,39,FALSE)</f>
        <v>69</v>
      </c>
      <c r="D8" s="86">
        <f>HLOOKUP(cForce2,tUnitsStats,39,FALSE)</f>
        <v>75</v>
      </c>
    </row>
    <row r="9" spans="2:4" ht="6" customHeight="1" x14ac:dyDescent="0.15"/>
    <row r="10" spans="2:4" ht="18" customHeight="1" x14ac:dyDescent="0.15">
      <c r="B10" s="281" t="s">
        <v>303</v>
      </c>
      <c r="C10" s="281"/>
      <c r="D10" s="281"/>
    </row>
    <row r="11" spans="2:4" ht="18" customHeight="1" thickBot="1" x14ac:dyDescent="0.2">
      <c r="B11" s="242" t="s">
        <v>304</v>
      </c>
      <c r="C11" s="243">
        <f ca="1">C8+C4+C28+C41+C48+C62+C71+C88+C102+C113+C117</f>
        <v>139</v>
      </c>
      <c r="D11" s="243">
        <f ca="1">D8+D4+D28+D41+D48+D62+D71+D88+D102+D113+D117</f>
        <v>100</v>
      </c>
    </row>
    <row r="12" spans="2:4" ht="18" customHeight="1" thickTop="1" thickBot="1" x14ac:dyDescent="0.2">
      <c r="B12" s="85" t="s">
        <v>305</v>
      </c>
      <c r="C12" s="245">
        <v>13</v>
      </c>
      <c r="D12" s="245">
        <v>10</v>
      </c>
    </row>
    <row r="13" spans="2:4" ht="18" customHeight="1" thickTop="1" x14ac:dyDescent="0.15">
      <c r="B13" s="242" t="s">
        <v>306</v>
      </c>
      <c r="C13" s="243">
        <f ca="1">C11+5*C12</f>
        <v>204</v>
      </c>
      <c r="D13" s="243">
        <f ca="1">D11+5*D12</f>
        <v>150</v>
      </c>
    </row>
    <row r="14" spans="2:4" hidden="1" outlineLevel="1" x14ac:dyDescent="0.15">
      <c r="B14" s="232" t="s">
        <v>315</v>
      </c>
      <c r="C14" s="233">
        <f ca="1">ABS(C13-D13)</f>
        <v>54</v>
      </c>
      <c r="D14" s="233" t="b">
        <f ca="1">C13&gt;D13</f>
        <v>1</v>
      </c>
    </row>
    <row r="15" spans="2:4" ht="18" customHeight="1" collapsed="1" x14ac:dyDescent="0.15">
      <c r="B15" s="242" t="s">
        <v>317</v>
      </c>
      <c r="C15" s="247" t="str">
        <f ca="1">IF(D14,"Winner","Loser")</f>
        <v>Winner</v>
      </c>
      <c r="D15" s="247" t="str">
        <f ca="1">IF(D14,"Loser","Winner")</f>
        <v>Loser</v>
      </c>
    </row>
    <row r="16" spans="2:4" hidden="1" outlineLevel="1" x14ac:dyDescent="0.15">
      <c r="B16" s="232" t="s">
        <v>314</v>
      </c>
      <c r="C16" s="244">
        <f ca="1">MAX(0,MIN(100,(VLOOKUP(C14,tCombatResults,2+IF(D14,0,1))+C27)*IF(AND(NOT(D14),D30="Yes"),0.5,1)))/100</f>
        <v>0.1</v>
      </c>
      <c r="D16" s="244">
        <f ca="1">MAX(0,MIN(100,(VLOOKUP(C14,tCombatResults,2+IF(D14,1,0))+D27)*IF(AND(D14,C30="Yes"),0.5,1)))/100</f>
        <v>0.5</v>
      </c>
    </row>
    <row r="17" spans="2:4" hidden="1" outlineLevel="1" x14ac:dyDescent="0.15">
      <c r="B17" s="232" t="s">
        <v>112</v>
      </c>
      <c r="C17" s="240">
        <f ca="1">ROUND((cNumTroops1*C16/2)*IF(OR(D30="Yes",LEFT(C21,1)="F"),1,0),0)</f>
        <v>2</v>
      </c>
      <c r="D17" s="240">
        <f ca="1">ROUND((cNumTroops2*D16/2)*IF(OR(C30="Yes",LEFT(D21,1)="F"),1,0),0)</f>
        <v>0</v>
      </c>
    </row>
    <row r="18" spans="2:4" hidden="1" outlineLevel="1" x14ac:dyDescent="0.15">
      <c r="B18" s="232" t="s">
        <v>319</v>
      </c>
      <c r="C18" s="240">
        <f ca="1">ROUND((cNumTroops1*C16/2)*IF(OR(D30="Yes",LEFT(C21,1)="F"),1,2),0)</f>
        <v>2</v>
      </c>
      <c r="D18" s="240">
        <f ca="1">ROUND((cNumTroops2*D16/2)*IF(OR(C30="Yes",LEFT(D21,1)="F"),1,2),0)</f>
        <v>13</v>
      </c>
    </row>
    <row r="19" spans="2:4" ht="18" customHeight="1" collapsed="1" x14ac:dyDescent="0.15">
      <c r="B19" s="242" t="s">
        <v>43</v>
      </c>
      <c r="C19" s="243" t="str">
        <f ca="1">C18&amp;" killed"&amp;IF(C17&gt;0,", "&amp;C17&amp;" wounded","")&amp;", "&amp;cNumTroops1-C17-C18&amp;" remaining"</f>
        <v>2 killed, 2 wounded, 26 remaining</v>
      </c>
      <c r="D19" s="243" t="str">
        <f ca="1">D18&amp;" killed"&amp;IF(D17&gt;0,", "&amp;D17&amp;" wounded","")&amp;", "&amp;cNumTroops2-D17-D18&amp;" remaining"</f>
        <v>13 killed, 12 remaining</v>
      </c>
    </row>
    <row r="20" spans="2:4" ht="18" customHeight="1" x14ac:dyDescent="0.15">
      <c r="B20" s="242" t="s">
        <v>320</v>
      </c>
      <c r="C20" s="249">
        <f ca="1">VLOOKUP(C14,tCombatResults,4+IF(D14,0,1))</f>
        <v>1</v>
      </c>
      <c r="D20" s="249">
        <f ca="1">VLOOKUP(C14,tCombatResults,4+IF(D14,1,0))</f>
        <v>2</v>
      </c>
    </row>
    <row r="21" spans="2:4" hidden="1" outlineLevel="1" x14ac:dyDescent="0.15">
      <c r="B21" s="232" t="s">
        <v>95</v>
      </c>
      <c r="C21" s="240" t="str">
        <f ca="1">VLOOKUP(C14,tCombatResults,6+IF(D14,0,1),TRUE)</f>
        <v>F+1</v>
      </c>
      <c r="D21" s="240" t="str">
        <f ca="1">VLOOKUP(C14,tCombatResults,6+IF(D14,1,0),TRUE)</f>
        <v>B+3</v>
      </c>
    </row>
    <row r="22" spans="2:4" ht="28" collapsed="1" x14ac:dyDescent="0.15">
      <c r="B22" s="242" t="s">
        <v>95</v>
      </c>
      <c r="C22" s="248" t="str">
        <f ca="1">VLOOKUP(C21,tLocationResults,2,FALSE)</f>
        <v>The force can advance One (1) Terrain Units.</v>
      </c>
      <c r="D22" s="248" t="str">
        <f ca="1">VLOOKUP(D21,tLocationResults,2,FALSE)</f>
        <v>The force must retreat Three (3) Terrain Units.</v>
      </c>
    </row>
    <row r="23" spans="2:4" ht="6" customHeight="1" x14ac:dyDescent="0.15"/>
    <row r="24" spans="2:4" ht="18" customHeight="1" thickBot="1" x14ac:dyDescent="0.2">
      <c r="B24" s="280" t="s">
        <v>128</v>
      </c>
      <c r="C24" s="280"/>
      <c r="D24" s="280"/>
    </row>
    <row r="25" spans="2:4" ht="18" customHeight="1" thickTop="1" thickBot="1" x14ac:dyDescent="0.2">
      <c r="B25" s="85" t="s">
        <v>297</v>
      </c>
      <c r="C25" s="245" t="s">
        <v>124</v>
      </c>
      <c r="D25" s="245" t="s">
        <v>126</v>
      </c>
    </row>
    <row r="26" spans="2:4" ht="15" hidden="1" outlineLevel="1" thickTop="1" thickBot="1" x14ac:dyDescent="0.2">
      <c r="B26" s="234" t="s">
        <v>298</v>
      </c>
      <c r="C26" s="240">
        <f>MATCH(C25,tTacticsList,0)</f>
        <v>5</v>
      </c>
      <c r="D26" s="240">
        <f>MATCH(D25,tTacticsList,0)</f>
        <v>2</v>
      </c>
    </row>
    <row r="27" spans="2:4" ht="15" hidden="1" outlineLevel="1" thickTop="1" thickBot="1" x14ac:dyDescent="0.2">
      <c r="B27" s="237" t="s">
        <v>299</v>
      </c>
      <c r="C27" s="238">
        <f ca="1">OFFSET(tTacticsCasualties,'MadCaps-Wererats'!D26,'MadCaps-Wererats'!C26)</f>
        <v>-10</v>
      </c>
      <c r="D27" s="238">
        <f ca="1">OFFSET(tTacticsCasualties,'MadCaps-Wererats'!C26,'MadCaps-Wererats'!D26)</f>
        <v>0</v>
      </c>
    </row>
    <row r="28" spans="2:4" ht="15" hidden="1" outlineLevel="1" thickTop="1" thickBot="1" x14ac:dyDescent="0.2">
      <c r="B28" s="237" t="s">
        <v>80</v>
      </c>
      <c r="C28" s="238">
        <f ca="1">OFFSET(tTacticsBonus,'MadCaps-Wererats'!D26,'MadCaps-Wererats'!C26)</f>
        <v>0</v>
      </c>
      <c r="D28" s="238">
        <f ca="1">OFFSET(tTacticsBonus,'MadCaps-Wererats'!C26,'MadCaps-Wererats'!D26)</f>
        <v>0</v>
      </c>
    </row>
    <row r="29" spans="2:4" ht="15" hidden="1" outlineLevel="1" thickTop="1" thickBot="1" x14ac:dyDescent="0.2">
      <c r="B29" s="237" t="s">
        <v>301</v>
      </c>
      <c r="C29" s="238">
        <f ca="1">OFFSET(tTacticsEffects,'MadCaps-Wererats'!D26,'MadCaps-Wererats'!C26)</f>
        <v>0</v>
      </c>
      <c r="D29" s="238">
        <f ca="1">OFFSET(tTacticsEffects,'MadCaps-Wererats'!C26,'MadCaps-Wererats'!D26)</f>
        <v>0</v>
      </c>
    </row>
    <row r="30" spans="2:4" ht="18" customHeight="1" collapsed="1" thickTop="1" thickBot="1" x14ac:dyDescent="0.2">
      <c r="B30" s="85" t="s">
        <v>316</v>
      </c>
      <c r="C30" s="246" t="s">
        <v>200</v>
      </c>
      <c r="D30" s="246" t="s">
        <v>200</v>
      </c>
    </row>
    <row r="31" spans="2:4" ht="6" customHeight="1" thickTop="1" x14ac:dyDescent="0.15"/>
    <row r="32" spans="2:4" ht="18" customHeight="1" x14ac:dyDescent="0.15">
      <c r="B32" s="280" t="s">
        <v>307</v>
      </c>
      <c r="C32" s="280"/>
      <c r="D32" s="280"/>
    </row>
    <row r="33" spans="2:4" ht="18" customHeight="1" x14ac:dyDescent="0.15">
      <c r="B33" s="85" t="s">
        <v>311</v>
      </c>
      <c r="C33" s="93" t="s">
        <v>200</v>
      </c>
      <c r="D33" s="93" t="s">
        <v>200</v>
      </c>
    </row>
    <row r="34" spans="2:4" hidden="1" outlineLevel="1" x14ac:dyDescent="0.15">
      <c r="B34" s="232"/>
      <c r="C34" s="233">
        <f>IF(C33="Yes",50,0)</f>
        <v>0</v>
      </c>
      <c r="D34" s="233">
        <f>IF(D33="Yes",50,0)</f>
        <v>0</v>
      </c>
    </row>
    <row r="35" spans="2:4" ht="18" customHeight="1" collapsed="1" x14ac:dyDescent="0.15">
      <c r="B35" s="85" t="s">
        <v>312</v>
      </c>
      <c r="C35" s="93" t="s">
        <v>200</v>
      </c>
      <c r="D35" s="93" t="s">
        <v>200</v>
      </c>
    </row>
    <row r="36" spans="2:4" hidden="1" outlineLevel="1" x14ac:dyDescent="0.15">
      <c r="B36" s="232"/>
      <c r="C36" s="233">
        <f>IF(C35="Yes",20,0)</f>
        <v>0</v>
      </c>
      <c r="D36" s="233">
        <f>IF(D35="Yes",20,0)</f>
        <v>0</v>
      </c>
    </row>
    <row r="37" spans="2:4" ht="18" customHeight="1" collapsed="1" x14ac:dyDescent="0.15">
      <c r="B37" s="85" t="s">
        <v>313</v>
      </c>
      <c r="C37" s="93" t="s">
        <v>200</v>
      </c>
      <c r="D37" s="93" t="s">
        <v>200</v>
      </c>
    </row>
    <row r="38" spans="2:4" hidden="1" outlineLevel="1" x14ac:dyDescent="0.15">
      <c r="B38" s="232"/>
      <c r="C38" s="233">
        <f>IF(C37="Yes",10,0)</f>
        <v>0</v>
      </c>
      <c r="D38" s="233">
        <f>IF(D37="Yes",10,0)</f>
        <v>0</v>
      </c>
    </row>
    <row r="39" spans="2:4" ht="18" customHeight="1" collapsed="1" x14ac:dyDescent="0.15">
      <c r="B39" s="85" t="s">
        <v>308</v>
      </c>
      <c r="C39" s="93" t="s">
        <v>200</v>
      </c>
      <c r="D39" s="93" t="s">
        <v>200</v>
      </c>
    </row>
    <row r="40" spans="2:4" hidden="1" outlineLevel="1" x14ac:dyDescent="0.15">
      <c r="B40" s="232"/>
      <c r="C40" s="233">
        <f>IF(C39="Yes",-25,0)</f>
        <v>0</v>
      </c>
      <c r="D40" s="233">
        <f>IF(D39="Yes",-25,0)</f>
        <v>0</v>
      </c>
    </row>
    <row r="41" spans="2:4" hidden="1" outlineLevel="1" x14ac:dyDescent="0.15">
      <c r="B41" s="237"/>
      <c r="C41" s="238">
        <f>C34+C36+C38+C40</f>
        <v>0</v>
      </c>
      <c r="D41" s="238">
        <f>D34+D36+D38+D40</f>
        <v>0</v>
      </c>
    </row>
    <row r="42" spans="2:4" ht="6" customHeight="1" collapsed="1" x14ac:dyDescent="0.15"/>
    <row r="43" spans="2:4" ht="18" customHeight="1" x14ac:dyDescent="0.15">
      <c r="B43" s="280" t="s">
        <v>61</v>
      </c>
      <c r="C43" s="280"/>
      <c r="D43" s="280"/>
    </row>
    <row r="44" spans="2:4" ht="18" customHeight="1" x14ac:dyDescent="0.15">
      <c r="B44" s="85" t="s">
        <v>309</v>
      </c>
      <c r="C44" s="93" t="s">
        <v>200</v>
      </c>
      <c r="D44" s="93" t="s">
        <v>200</v>
      </c>
    </row>
    <row r="45" spans="2:4" hidden="1" outlineLevel="1" x14ac:dyDescent="0.15">
      <c r="B45" s="232"/>
      <c r="C45" s="233">
        <f>IF(C44="Yes",40,0)</f>
        <v>0</v>
      </c>
      <c r="D45" s="233">
        <f>IF(D44="Yes",40,0)</f>
        <v>0</v>
      </c>
    </row>
    <row r="46" spans="2:4" ht="18" customHeight="1" collapsed="1" x14ac:dyDescent="0.15">
      <c r="B46" s="85" t="s">
        <v>310</v>
      </c>
      <c r="C46" s="93" t="s">
        <v>200</v>
      </c>
      <c r="D46" s="93" t="s">
        <v>200</v>
      </c>
    </row>
    <row r="47" spans="2:4" hidden="1" outlineLevel="1" x14ac:dyDescent="0.15">
      <c r="B47" s="232"/>
      <c r="C47" s="233">
        <f>IF(C46="Yes",20,0)</f>
        <v>0</v>
      </c>
      <c r="D47" s="233">
        <f>IF(D46="Yes",20,0)</f>
        <v>0</v>
      </c>
    </row>
    <row r="48" spans="2:4" hidden="1" outlineLevel="1" x14ac:dyDescent="0.15">
      <c r="B48" s="237"/>
      <c r="C48" s="238">
        <f>C45+C47</f>
        <v>0</v>
      </c>
      <c r="D48" s="238">
        <f>D45+D47</f>
        <v>0</v>
      </c>
    </row>
    <row r="49" spans="2:4" ht="6" customHeight="1" collapsed="1" x14ac:dyDescent="0.15"/>
    <row r="50" spans="2:4" ht="18" customHeight="1" x14ac:dyDescent="0.15">
      <c r="B50" s="280" t="s">
        <v>58</v>
      </c>
      <c r="C50" s="280"/>
      <c r="D50" s="280"/>
    </row>
    <row r="51" spans="2:4" hidden="1" outlineLevel="1" x14ac:dyDescent="0.15">
      <c r="B51" s="234" t="s">
        <v>290</v>
      </c>
      <c r="C51" s="233">
        <f>IF(C7&gt;D7,(C7-D7)*5,0)</f>
        <v>0</v>
      </c>
      <c r="D51" s="233">
        <f>IF(D7&gt;C7,(D7-C7)*5,0)</f>
        <v>5</v>
      </c>
    </row>
    <row r="52" spans="2:4" ht="18" customHeight="1" collapsed="1" x14ac:dyDescent="0.15">
      <c r="B52" s="85" t="s">
        <v>196</v>
      </c>
      <c r="C52" s="93" t="s">
        <v>200</v>
      </c>
      <c r="D52" s="93" t="s">
        <v>200</v>
      </c>
    </row>
    <row r="53" spans="2:4" hidden="1" outlineLevel="1" x14ac:dyDescent="0.15">
      <c r="B53" s="232"/>
      <c r="C53" s="233">
        <f>IF(C52="Yes",10,0)</f>
        <v>0</v>
      </c>
      <c r="D53" s="233">
        <f>IF(D52="Yes",10,0)</f>
        <v>0</v>
      </c>
    </row>
    <row r="54" spans="2:4" ht="18" customHeight="1" collapsed="1" x14ac:dyDescent="0.15">
      <c r="B54" s="85" t="s">
        <v>201</v>
      </c>
      <c r="C54" s="93" t="s">
        <v>200</v>
      </c>
      <c r="D54" s="93" t="s">
        <v>200</v>
      </c>
    </row>
    <row r="55" spans="2:4" hidden="1" outlineLevel="1" x14ac:dyDescent="0.15">
      <c r="B55" s="232"/>
      <c r="C55" s="233">
        <f>IF(C54="Yes",10,0)</f>
        <v>0</v>
      </c>
      <c r="D55" s="233">
        <f>IF(D54="Yes",10,0)</f>
        <v>0</v>
      </c>
    </row>
    <row r="56" spans="2:4" ht="18" customHeight="1" collapsed="1" x14ac:dyDescent="0.15">
      <c r="B56" s="85" t="s">
        <v>202</v>
      </c>
      <c r="C56" s="93" t="s">
        <v>200</v>
      </c>
      <c r="D56" s="93" t="s">
        <v>200</v>
      </c>
    </row>
    <row r="57" spans="2:4" hidden="1" outlineLevel="1" x14ac:dyDescent="0.15">
      <c r="B57" s="232"/>
      <c r="C57" s="233">
        <f>IF(C56="Yes",-20,0)</f>
        <v>0</v>
      </c>
      <c r="D57" s="233">
        <f>IF(D56="Yes",-20,0)</f>
        <v>0</v>
      </c>
    </row>
    <row r="58" spans="2:4" ht="18" customHeight="1" collapsed="1" x14ac:dyDescent="0.15">
      <c r="B58" s="85" t="s">
        <v>197</v>
      </c>
      <c r="C58" s="93" t="s">
        <v>200</v>
      </c>
      <c r="D58" s="93" t="s">
        <v>200</v>
      </c>
    </row>
    <row r="59" spans="2:4" hidden="1" outlineLevel="1" x14ac:dyDescent="0.15">
      <c r="B59" s="232"/>
      <c r="C59" s="233">
        <f>IF(C58="Yes",30,0)</f>
        <v>0</v>
      </c>
      <c r="D59" s="233">
        <f>IF(D58="Yes",30,0)</f>
        <v>0</v>
      </c>
    </row>
    <row r="60" spans="2:4" ht="18" customHeight="1" collapsed="1" x14ac:dyDescent="0.15">
      <c r="B60" s="85" t="s">
        <v>198</v>
      </c>
      <c r="C60" s="93" t="s">
        <v>200</v>
      </c>
      <c r="D60" s="93" t="s">
        <v>200</v>
      </c>
    </row>
    <row r="61" spans="2:4" hidden="1" outlineLevel="1" x14ac:dyDescent="0.15">
      <c r="B61" s="232"/>
      <c r="C61" s="233">
        <f>IF(C60="Yes",-10,0)</f>
        <v>0</v>
      </c>
      <c r="D61" s="233">
        <f>IF(D60="Yes",-10,0)</f>
        <v>0</v>
      </c>
    </row>
    <row r="62" spans="2:4" hidden="1" outlineLevel="1" x14ac:dyDescent="0.15">
      <c r="B62" s="237"/>
      <c r="C62" s="238">
        <f>C51+C53+C55+C57+C59+C61</f>
        <v>0</v>
      </c>
      <c r="D62" s="238">
        <f>D51+D53+D55+D57+D59+D61</f>
        <v>5</v>
      </c>
    </row>
    <row r="63" spans="2:4" ht="6" customHeight="1" collapsed="1" x14ac:dyDescent="0.15"/>
    <row r="64" spans="2:4" ht="18" customHeight="1" x14ac:dyDescent="0.15">
      <c r="B64" s="280" t="s">
        <v>61</v>
      </c>
      <c r="C64" s="280"/>
      <c r="D64" s="280"/>
    </row>
    <row r="65" spans="2:4" ht="18" customHeight="1" x14ac:dyDescent="0.15">
      <c r="B65" s="85" t="s">
        <v>204</v>
      </c>
      <c r="C65" s="93" t="s">
        <v>200</v>
      </c>
      <c r="D65" s="93" t="s">
        <v>200</v>
      </c>
    </row>
    <row r="66" spans="2:4" hidden="1" outlineLevel="1" x14ac:dyDescent="0.15">
      <c r="B66" s="232"/>
      <c r="C66" s="233">
        <f>IF(C65="Yes",25,0)</f>
        <v>0</v>
      </c>
      <c r="D66" s="233">
        <f>IF(D65="Yes",25,0)</f>
        <v>0</v>
      </c>
    </row>
    <row r="67" spans="2:4" ht="18" customHeight="1" collapsed="1" x14ac:dyDescent="0.15">
      <c r="B67" s="85" t="s">
        <v>205</v>
      </c>
      <c r="C67" s="93" t="s">
        <v>200</v>
      </c>
      <c r="D67" s="93" t="s">
        <v>200</v>
      </c>
    </row>
    <row r="68" spans="2:4" hidden="1" outlineLevel="1" x14ac:dyDescent="0.15">
      <c r="B68" s="232"/>
      <c r="C68" s="233">
        <f>IF(C67="Yes",-25,0)</f>
        <v>0</v>
      </c>
      <c r="D68" s="233">
        <f>IF(D67="Yes",-25,0)</f>
        <v>0</v>
      </c>
    </row>
    <row r="69" spans="2:4" ht="18" customHeight="1" collapsed="1" x14ac:dyDescent="0.15">
      <c r="B69" s="85" t="s">
        <v>224</v>
      </c>
      <c r="C69" s="93" t="s">
        <v>200</v>
      </c>
      <c r="D69" s="93" t="s">
        <v>200</v>
      </c>
    </row>
    <row r="70" spans="2:4" hidden="1" outlineLevel="1" x14ac:dyDescent="0.15">
      <c r="B70" s="232"/>
      <c r="C70" s="233">
        <f>IF(C69="Yes",20,0)</f>
        <v>0</v>
      </c>
      <c r="D70" s="233">
        <f>IF(D69="Yes",20,0)</f>
        <v>0</v>
      </c>
    </row>
    <row r="71" spans="2:4" hidden="1" outlineLevel="1" x14ac:dyDescent="0.15">
      <c r="B71" s="237"/>
      <c r="C71" s="238">
        <f>C66+C68+C70</f>
        <v>0</v>
      </c>
      <c r="D71" s="238">
        <f>D66+D68+D70</f>
        <v>0</v>
      </c>
    </row>
    <row r="72" spans="2:4" ht="6" customHeight="1" collapsed="1" x14ac:dyDescent="0.15"/>
    <row r="73" spans="2:4" ht="18" customHeight="1" x14ac:dyDescent="0.15">
      <c r="B73" s="280" t="s">
        <v>74</v>
      </c>
      <c r="C73" s="280"/>
      <c r="D73" s="280"/>
    </row>
    <row r="74" spans="2:4" ht="18" customHeight="1" x14ac:dyDescent="0.15">
      <c r="B74" s="85" t="s">
        <v>206</v>
      </c>
      <c r="C74" s="93" t="s">
        <v>200</v>
      </c>
      <c r="D74" s="93" t="s">
        <v>200</v>
      </c>
    </row>
    <row r="75" spans="2:4" hidden="1" outlineLevel="1" x14ac:dyDescent="0.15">
      <c r="B75" s="232"/>
      <c r="C75" s="233">
        <f>IF(C74="Yes",20,0)</f>
        <v>0</v>
      </c>
      <c r="D75" s="233">
        <f>IF(D74="Yes",20,0)</f>
        <v>0</v>
      </c>
    </row>
    <row r="76" spans="2:4" ht="18" customHeight="1" collapsed="1" x14ac:dyDescent="0.15">
      <c r="B76" s="85" t="s">
        <v>207</v>
      </c>
      <c r="C76" s="93" t="s">
        <v>200</v>
      </c>
      <c r="D76" s="93" t="s">
        <v>200</v>
      </c>
    </row>
    <row r="77" spans="2:4" hidden="1" outlineLevel="1" x14ac:dyDescent="0.15">
      <c r="B77" s="232"/>
      <c r="C77" s="233">
        <f>IF(C76="Yes",20,0)</f>
        <v>0</v>
      </c>
      <c r="D77" s="233">
        <f>IF(D76="Yes",20,0)</f>
        <v>0</v>
      </c>
    </row>
    <row r="78" spans="2:4" ht="18" customHeight="1" collapsed="1" x14ac:dyDescent="0.15">
      <c r="B78" s="85" t="s">
        <v>208</v>
      </c>
      <c r="C78" s="93" t="s">
        <v>200</v>
      </c>
      <c r="D78" s="93" t="s">
        <v>200</v>
      </c>
    </row>
    <row r="79" spans="2:4" hidden="1" outlineLevel="1" x14ac:dyDescent="0.15">
      <c r="B79" s="232"/>
      <c r="C79" s="233">
        <f>IF(C78="Yes",10,0)</f>
        <v>0</v>
      </c>
      <c r="D79" s="233">
        <f>IF(D78="Yes",10,0)</f>
        <v>0</v>
      </c>
    </row>
    <row r="80" spans="2:4" ht="18" customHeight="1" collapsed="1" x14ac:dyDescent="0.15">
      <c r="B80" s="85" t="s">
        <v>209</v>
      </c>
      <c r="C80" s="93" t="s">
        <v>200</v>
      </c>
      <c r="D80" s="93" t="s">
        <v>200</v>
      </c>
    </row>
    <row r="81" spans="2:4" hidden="1" outlineLevel="1" x14ac:dyDescent="0.15">
      <c r="B81" s="232"/>
      <c r="C81" s="233">
        <f>IF(C80="Yes",20,0)</f>
        <v>0</v>
      </c>
      <c r="D81" s="233">
        <f>IF(D80="Yes",20,0)</f>
        <v>0</v>
      </c>
    </row>
    <row r="82" spans="2:4" ht="18" customHeight="1" collapsed="1" x14ac:dyDescent="0.15">
      <c r="B82" s="85" t="s">
        <v>210</v>
      </c>
      <c r="C82" s="93" t="s">
        <v>200</v>
      </c>
      <c r="D82" s="93" t="s">
        <v>200</v>
      </c>
    </row>
    <row r="83" spans="2:4" hidden="1" outlineLevel="1" x14ac:dyDescent="0.15">
      <c r="B83" s="232"/>
      <c r="C83" s="233">
        <f>IF(C82="Yes",-20,0)</f>
        <v>0</v>
      </c>
      <c r="D83" s="233">
        <f>IF(D82="Yes",-20,0)</f>
        <v>0</v>
      </c>
    </row>
    <row r="84" spans="2:4" ht="18" customHeight="1" collapsed="1" x14ac:dyDescent="0.15">
      <c r="B84" s="85" t="s">
        <v>211</v>
      </c>
      <c r="C84" s="93" t="s">
        <v>200</v>
      </c>
      <c r="D84" s="93" t="s">
        <v>200</v>
      </c>
    </row>
    <row r="85" spans="2:4" hidden="1" outlineLevel="1" x14ac:dyDescent="0.15">
      <c r="B85" s="232"/>
      <c r="C85" s="233">
        <f>IF(C84="Yes",-20,0)</f>
        <v>0</v>
      </c>
      <c r="D85" s="233">
        <f>IF(D84="Yes",-20,0)</f>
        <v>0</v>
      </c>
    </row>
    <row r="86" spans="2:4" ht="18" customHeight="1" collapsed="1" x14ac:dyDescent="0.15">
      <c r="B86" s="85" t="s">
        <v>212</v>
      </c>
      <c r="C86" s="93" t="s">
        <v>200</v>
      </c>
      <c r="D86" s="93" t="s">
        <v>200</v>
      </c>
    </row>
    <row r="87" spans="2:4" hidden="1" outlineLevel="1" x14ac:dyDescent="0.15">
      <c r="B87" s="232"/>
      <c r="C87" s="233">
        <f>IF(C86="Yes",-10,0)</f>
        <v>0</v>
      </c>
      <c r="D87" s="233">
        <f>IF(D86="Yes",-10,0)</f>
        <v>0</v>
      </c>
    </row>
    <row r="88" spans="2:4" hidden="1" outlineLevel="1" x14ac:dyDescent="0.15">
      <c r="B88" s="237"/>
      <c r="C88" s="238">
        <f>C75+C77+C79+C81+C83+C85+C87</f>
        <v>0</v>
      </c>
      <c r="D88" s="238">
        <f>D75+D77+D79+D81+D83+D85+D87</f>
        <v>0</v>
      </c>
    </row>
    <row r="89" spans="2:4" ht="6" customHeight="1" collapsed="1" x14ac:dyDescent="0.15"/>
    <row r="90" spans="2:4" ht="18" customHeight="1" x14ac:dyDescent="0.15">
      <c r="B90" s="280" t="s">
        <v>213</v>
      </c>
      <c r="C90" s="280"/>
      <c r="D90" s="280"/>
    </row>
    <row r="91" spans="2:4" ht="18" customHeight="1" x14ac:dyDescent="0.15">
      <c r="B91" s="85" t="s">
        <v>214</v>
      </c>
      <c r="C91" s="93" t="s">
        <v>200</v>
      </c>
      <c r="D91" s="93" t="s">
        <v>200</v>
      </c>
    </row>
    <row r="92" spans="2:4" hidden="1" outlineLevel="1" x14ac:dyDescent="0.15">
      <c r="B92" s="232"/>
      <c r="C92" s="233">
        <f>IF(C91="Yes",10,0)</f>
        <v>0</v>
      </c>
      <c r="D92" s="233">
        <f>IF(D91="Yes",10,0)</f>
        <v>0</v>
      </c>
    </row>
    <row r="93" spans="2:4" ht="18" customHeight="1" collapsed="1" x14ac:dyDescent="0.15">
      <c r="B93" s="85" t="s">
        <v>215</v>
      </c>
      <c r="C93" s="93" t="s">
        <v>200</v>
      </c>
      <c r="D93" s="93" t="s">
        <v>200</v>
      </c>
    </row>
    <row r="94" spans="2:4" hidden="1" outlineLevel="1" x14ac:dyDescent="0.15">
      <c r="B94" s="232"/>
      <c r="C94" s="233">
        <f>IF(C93="Yes",50,0)</f>
        <v>0</v>
      </c>
      <c r="D94" s="233">
        <f>IF(D93="Yes",50,0)</f>
        <v>0</v>
      </c>
    </row>
    <row r="95" spans="2:4" ht="18" customHeight="1" collapsed="1" x14ac:dyDescent="0.15">
      <c r="B95" s="85" t="s">
        <v>216</v>
      </c>
      <c r="C95" s="93" t="s">
        <v>200</v>
      </c>
      <c r="D95" s="93" t="s">
        <v>200</v>
      </c>
    </row>
    <row r="96" spans="2:4" hidden="1" outlineLevel="1" x14ac:dyDescent="0.15">
      <c r="B96" s="232"/>
      <c r="C96" s="233">
        <f>IF(C95="Yes",40,0)</f>
        <v>0</v>
      </c>
      <c r="D96" s="233">
        <f>IF(D95="Yes",40,0)</f>
        <v>0</v>
      </c>
    </row>
    <row r="97" spans="2:4" ht="18" customHeight="1" collapsed="1" x14ac:dyDescent="0.15">
      <c r="B97" s="85" t="s">
        <v>217</v>
      </c>
      <c r="C97" s="93" t="s">
        <v>199</v>
      </c>
      <c r="D97" s="93" t="s">
        <v>200</v>
      </c>
    </row>
    <row r="98" spans="2:4" hidden="1" outlineLevel="1" x14ac:dyDescent="0.15">
      <c r="B98" s="232"/>
      <c r="C98" s="233">
        <f>IF(C97="Yes",20,0)</f>
        <v>20</v>
      </c>
      <c r="D98" s="233">
        <f>IF(D97="Yes",20,0)</f>
        <v>0</v>
      </c>
    </row>
    <row r="99" spans="2:4" ht="18" customHeight="1" collapsed="1" x14ac:dyDescent="0.15">
      <c r="B99" s="85" t="s">
        <v>225</v>
      </c>
      <c r="C99" s="93" t="s">
        <v>199</v>
      </c>
      <c r="D99" s="93" t="s">
        <v>200</v>
      </c>
    </row>
    <row r="100" spans="2:4" hidden="1" outlineLevel="1" x14ac:dyDescent="0.15">
      <c r="B100" s="232"/>
      <c r="C100" s="233">
        <f>IF(C99="Yes",50,0)</f>
        <v>50</v>
      </c>
      <c r="D100" s="233">
        <f>IF(D99="Yes",50,0)</f>
        <v>0</v>
      </c>
    </row>
    <row r="101" spans="2:4" hidden="1" outlineLevel="1" x14ac:dyDescent="0.15">
      <c r="B101" s="235"/>
      <c r="C101" s="236">
        <f>HLOOKUP(cForce1,tUnitsStats,36,FALSE)*100</f>
        <v>0</v>
      </c>
      <c r="D101" s="236">
        <f>HLOOKUP(cForce2,tUnitsStats,36,FALSE)*100</f>
        <v>0</v>
      </c>
    </row>
    <row r="102" spans="2:4" hidden="1" outlineLevel="1" x14ac:dyDescent="0.15">
      <c r="B102" s="237"/>
      <c r="C102" s="238">
        <f>(C92+C94+C96+C98+C100)*IF(D101&gt;99,0,IF(D101&gt;4,0.5,1))</f>
        <v>70</v>
      </c>
      <c r="D102" s="238">
        <f>(D92+D94+D96+D98+D100)*IF(C101&gt;99,0,IF(C101&gt;4,0.5,1))</f>
        <v>0</v>
      </c>
    </row>
    <row r="103" spans="2:4" ht="6" customHeight="1" collapsed="1" x14ac:dyDescent="0.15"/>
    <row r="104" spans="2:4" ht="18" customHeight="1" x14ac:dyDescent="0.15">
      <c r="B104" s="280" t="s">
        <v>295</v>
      </c>
      <c r="C104" s="280"/>
      <c r="D104" s="280"/>
    </row>
    <row r="105" spans="2:4" ht="18" customHeight="1" x14ac:dyDescent="0.15">
      <c r="B105" s="85" t="s">
        <v>291</v>
      </c>
      <c r="C105" s="93" t="s">
        <v>200</v>
      </c>
      <c r="D105" s="93" t="s">
        <v>200</v>
      </c>
    </row>
    <row r="106" spans="2:4" hidden="1" outlineLevel="1" x14ac:dyDescent="0.15">
      <c r="B106" s="232"/>
      <c r="C106" s="233">
        <f>IF(C105="Yes",150,0)</f>
        <v>0</v>
      </c>
      <c r="D106" s="233">
        <f>IF(D105="Yes",150,0)</f>
        <v>0</v>
      </c>
    </row>
    <row r="107" spans="2:4" ht="18" customHeight="1" collapsed="1" x14ac:dyDescent="0.15">
      <c r="B107" s="85" t="s">
        <v>292</v>
      </c>
      <c r="C107" s="93" t="s">
        <v>200</v>
      </c>
      <c r="D107" s="93" t="s">
        <v>200</v>
      </c>
    </row>
    <row r="108" spans="2:4" hidden="1" outlineLevel="1" x14ac:dyDescent="0.15">
      <c r="B108" s="232"/>
      <c r="C108" s="233">
        <f>IF(C107="Yes",50,0)</f>
        <v>0</v>
      </c>
      <c r="D108" s="233">
        <f>IF(D107="Yes",50,0)</f>
        <v>0</v>
      </c>
    </row>
    <row r="109" spans="2:4" ht="18" customHeight="1" collapsed="1" x14ac:dyDescent="0.15">
      <c r="B109" s="85" t="s">
        <v>293</v>
      </c>
      <c r="C109" s="93" t="s">
        <v>200</v>
      </c>
      <c r="D109" s="93" t="s">
        <v>200</v>
      </c>
    </row>
    <row r="110" spans="2:4" hidden="1" outlineLevel="1" x14ac:dyDescent="0.15">
      <c r="B110" s="232"/>
      <c r="C110" s="233">
        <f>IF(C109="Yes",50,0)</f>
        <v>0</v>
      </c>
      <c r="D110" s="233">
        <f>IF(D109="Yes",50,0)</f>
        <v>0</v>
      </c>
    </row>
    <row r="111" spans="2:4" ht="18" customHeight="1" collapsed="1" x14ac:dyDescent="0.15">
      <c r="B111" s="85" t="s">
        <v>294</v>
      </c>
      <c r="C111" s="93" t="s">
        <v>200</v>
      </c>
      <c r="D111" s="93" t="s">
        <v>199</v>
      </c>
    </row>
    <row r="112" spans="2:4" hidden="1" outlineLevel="1" x14ac:dyDescent="0.15">
      <c r="B112" s="232"/>
      <c r="C112" s="233">
        <f>IF(C111="Yes",20,0)</f>
        <v>0</v>
      </c>
      <c r="D112" s="233">
        <f>IF(D111="Yes",20,0)</f>
        <v>20</v>
      </c>
    </row>
    <row r="113" spans="2:4" hidden="1" outlineLevel="1" x14ac:dyDescent="0.15">
      <c r="B113" s="237"/>
      <c r="C113" s="238">
        <f>C106+C108+C110+C112</f>
        <v>0</v>
      </c>
      <c r="D113" s="238">
        <f>D106+D108+D110+D112</f>
        <v>20</v>
      </c>
    </row>
    <row r="114" spans="2:4" ht="6" customHeight="1" collapsed="1" x14ac:dyDescent="0.15"/>
    <row r="115" spans="2:4" ht="18" customHeight="1" x14ac:dyDescent="0.15">
      <c r="B115" s="280" t="s">
        <v>218</v>
      </c>
      <c r="C115" s="280"/>
      <c r="D115" s="280"/>
    </row>
    <row r="116" spans="2:4" ht="18" customHeight="1" x14ac:dyDescent="0.15">
      <c r="B116" s="85" t="s">
        <v>219</v>
      </c>
      <c r="C116" s="86">
        <v>0</v>
      </c>
      <c r="D116" s="86">
        <v>0</v>
      </c>
    </row>
    <row r="117" spans="2:4" hidden="1" outlineLevel="1" x14ac:dyDescent="0.15">
      <c r="B117" s="237"/>
      <c r="C117" s="238">
        <f>-C116*10</f>
        <v>0</v>
      </c>
      <c r="D117" s="238">
        <f>-D116*10</f>
        <v>0</v>
      </c>
    </row>
    <row r="118" spans="2:4" ht="6" customHeight="1" collapsed="1" x14ac:dyDescent="0.15"/>
  </sheetData>
  <mergeCells count="10">
    <mergeCell ref="B73:D73"/>
    <mergeCell ref="B90:D90"/>
    <mergeCell ref="B104:D104"/>
    <mergeCell ref="B115:D115"/>
    <mergeCell ref="B10:D10"/>
    <mergeCell ref="B24:D24"/>
    <mergeCell ref="B32:D32"/>
    <mergeCell ref="B43:D43"/>
    <mergeCell ref="B50:D50"/>
    <mergeCell ref="B64:D64"/>
  </mergeCells>
  <conditionalFormatting sqref="C52:D52 C54:D54 C56:D56 C58:D58 C60:D60">
    <cfRule type="cellIs" dxfId="258" priority="50" stopIfTrue="1" operator="equal">
      <formula>"No"</formula>
    </cfRule>
  </conditionalFormatting>
  <conditionalFormatting sqref="C65:D65 C67:D67 C69:D69">
    <cfRule type="cellIs" dxfId="257" priority="49" stopIfTrue="1" operator="equal">
      <formula>"No"</formula>
    </cfRule>
  </conditionalFormatting>
  <conditionalFormatting sqref="C97">
    <cfRule type="cellIs" dxfId="256" priority="40" stopIfTrue="1" operator="equal">
      <formula>"No"</formula>
    </cfRule>
  </conditionalFormatting>
  <conditionalFormatting sqref="C74">
    <cfRule type="cellIs" dxfId="255" priority="48" stopIfTrue="1" operator="equal">
      <formula>"No"</formula>
    </cfRule>
  </conditionalFormatting>
  <conditionalFormatting sqref="C76">
    <cfRule type="cellIs" dxfId="254" priority="47" stopIfTrue="1" operator="equal">
      <formula>"No"</formula>
    </cfRule>
  </conditionalFormatting>
  <conditionalFormatting sqref="C78">
    <cfRule type="cellIs" dxfId="253" priority="46" stopIfTrue="1" operator="equal">
      <formula>"No"</formula>
    </cfRule>
  </conditionalFormatting>
  <conditionalFormatting sqref="C80">
    <cfRule type="cellIs" dxfId="252" priority="45" stopIfTrue="1" operator="equal">
      <formula>"No"</formula>
    </cfRule>
  </conditionalFormatting>
  <conditionalFormatting sqref="C82">
    <cfRule type="cellIs" dxfId="251" priority="44" stopIfTrue="1" operator="equal">
      <formula>"No"</formula>
    </cfRule>
  </conditionalFormatting>
  <conditionalFormatting sqref="C84">
    <cfRule type="cellIs" dxfId="250" priority="43" stopIfTrue="1" operator="equal">
      <formula>"No"</formula>
    </cfRule>
  </conditionalFormatting>
  <conditionalFormatting sqref="C86">
    <cfRule type="cellIs" dxfId="249" priority="42" stopIfTrue="1" operator="equal">
      <formula>"No"</formula>
    </cfRule>
  </conditionalFormatting>
  <conditionalFormatting sqref="D74">
    <cfRule type="cellIs" dxfId="248" priority="38" stopIfTrue="1" operator="equal">
      <formula>"No"</formula>
    </cfRule>
  </conditionalFormatting>
  <conditionalFormatting sqref="D80">
    <cfRule type="cellIs" dxfId="247" priority="35" stopIfTrue="1" operator="equal">
      <formula>"No"</formula>
    </cfRule>
  </conditionalFormatting>
  <conditionalFormatting sqref="C95">
    <cfRule type="cellIs" dxfId="246" priority="41" stopIfTrue="1" operator="equal">
      <formula>"No"</formula>
    </cfRule>
  </conditionalFormatting>
  <conditionalFormatting sqref="C99">
    <cfRule type="cellIs" dxfId="245" priority="39" stopIfTrue="1" operator="equal">
      <formula>"No"</formula>
    </cfRule>
  </conditionalFormatting>
  <conditionalFormatting sqref="D99">
    <cfRule type="cellIs" dxfId="244" priority="29" stopIfTrue="1" operator="equal">
      <formula>"No"</formula>
    </cfRule>
  </conditionalFormatting>
  <conditionalFormatting sqref="C93">
    <cfRule type="cellIs" dxfId="243" priority="25" stopIfTrue="1" operator="equal">
      <formula>"No"</formula>
    </cfRule>
  </conditionalFormatting>
  <conditionalFormatting sqref="C105 C107 C111">
    <cfRule type="cellIs" dxfId="242" priority="24" stopIfTrue="1" operator="equal">
      <formula>"No"</formula>
    </cfRule>
  </conditionalFormatting>
  <conditionalFormatting sqref="D109">
    <cfRule type="cellIs" dxfId="241" priority="21" stopIfTrue="1" operator="equal">
      <formula>"No"</formula>
    </cfRule>
  </conditionalFormatting>
  <conditionalFormatting sqref="C13:D13">
    <cfRule type="cellIs" dxfId="240" priority="19" stopIfTrue="1" operator="equal">
      <formula>"No"</formula>
    </cfRule>
  </conditionalFormatting>
  <conditionalFormatting sqref="D37">
    <cfRule type="cellIs" dxfId="239" priority="15" stopIfTrue="1" operator="equal">
      <formula>"No"</formula>
    </cfRule>
  </conditionalFormatting>
  <conditionalFormatting sqref="D95">
    <cfRule type="cellIs" dxfId="238" priority="31" stopIfTrue="1" operator="equal">
      <formula>"No"</formula>
    </cfRule>
  </conditionalFormatting>
  <conditionalFormatting sqref="D76">
    <cfRule type="cellIs" dxfId="237" priority="37" stopIfTrue="1" operator="equal">
      <formula>"No"</formula>
    </cfRule>
  </conditionalFormatting>
  <conditionalFormatting sqref="D78">
    <cfRule type="cellIs" dxfId="236" priority="36" stopIfTrue="1" operator="equal">
      <formula>"No"</formula>
    </cfRule>
  </conditionalFormatting>
  <conditionalFormatting sqref="D97">
    <cfRule type="cellIs" dxfId="235" priority="30" stopIfTrue="1" operator="equal">
      <formula>"No"</formula>
    </cfRule>
  </conditionalFormatting>
  <conditionalFormatting sqref="D82">
    <cfRule type="cellIs" dxfId="234" priority="34" stopIfTrue="1" operator="equal">
      <formula>"No"</formula>
    </cfRule>
  </conditionalFormatting>
  <conditionalFormatting sqref="D84">
    <cfRule type="cellIs" dxfId="233" priority="33" stopIfTrue="1" operator="equal">
      <formula>"No"</formula>
    </cfRule>
  </conditionalFormatting>
  <conditionalFormatting sqref="D86">
    <cfRule type="cellIs" dxfId="232" priority="32" stopIfTrue="1" operator="equal">
      <formula>"No"</formula>
    </cfRule>
  </conditionalFormatting>
  <conditionalFormatting sqref="C91">
    <cfRule type="cellIs" dxfId="231" priority="26" stopIfTrue="1" operator="equal">
      <formula>"No"</formula>
    </cfRule>
  </conditionalFormatting>
  <conditionalFormatting sqref="D93">
    <cfRule type="cellIs" dxfId="230" priority="28" stopIfTrue="1" operator="equal">
      <formula>"No"</formula>
    </cfRule>
  </conditionalFormatting>
  <conditionalFormatting sqref="C44 C46">
    <cfRule type="cellIs" dxfId="229" priority="14" stopIfTrue="1" operator="equal">
      <formula>"No"</formula>
    </cfRule>
  </conditionalFormatting>
  <conditionalFormatting sqref="D19">
    <cfRule type="cellIs" dxfId="228" priority="11" stopIfTrue="1" operator="equal">
      <formula>"No"</formula>
    </cfRule>
  </conditionalFormatting>
  <conditionalFormatting sqref="D91">
    <cfRule type="cellIs" dxfId="227" priority="27" stopIfTrue="1" operator="equal">
      <formula>"No"</formula>
    </cfRule>
  </conditionalFormatting>
  <conditionalFormatting sqref="D44 D46">
    <cfRule type="cellIs" dxfId="226" priority="13" stopIfTrue="1" operator="equal">
      <formula>"No"</formula>
    </cfRule>
  </conditionalFormatting>
  <conditionalFormatting sqref="C11:D11">
    <cfRule type="cellIs" dxfId="225" priority="20" stopIfTrue="1" operator="equal">
      <formula>"No"</formula>
    </cfRule>
  </conditionalFormatting>
  <conditionalFormatting sqref="C109">
    <cfRule type="cellIs" dxfId="224" priority="23" stopIfTrue="1" operator="equal">
      <formula>"No"</formula>
    </cfRule>
  </conditionalFormatting>
  <conditionalFormatting sqref="C33 C35 C39">
    <cfRule type="cellIs" dxfId="223" priority="18" stopIfTrue="1" operator="equal">
      <formula>"No"</formula>
    </cfRule>
  </conditionalFormatting>
  <conditionalFormatting sqref="D105 D107 D111">
    <cfRule type="cellIs" dxfId="222" priority="22" stopIfTrue="1" operator="equal">
      <formula>"No"</formula>
    </cfRule>
  </conditionalFormatting>
  <conditionalFormatting sqref="D33 D35 D39">
    <cfRule type="cellIs" dxfId="221" priority="16" stopIfTrue="1" operator="equal">
      <formula>"No"</formula>
    </cfRule>
  </conditionalFormatting>
  <conditionalFormatting sqref="C19">
    <cfRule type="cellIs" dxfId="220" priority="12" stopIfTrue="1" operator="equal">
      <formula>"No"</formula>
    </cfRule>
  </conditionalFormatting>
  <conditionalFormatting sqref="C37">
    <cfRule type="cellIs" dxfId="219" priority="17" stopIfTrue="1" operator="equal">
      <formula>"No"</formula>
    </cfRule>
  </conditionalFormatting>
  <conditionalFormatting sqref="D30">
    <cfRule type="cellIs" dxfId="218" priority="9" stopIfTrue="1" operator="equal">
      <formula>"No"</formula>
    </cfRule>
  </conditionalFormatting>
  <conditionalFormatting sqref="D20">
    <cfRule type="cellIs" dxfId="217" priority="3" stopIfTrue="1" operator="equal">
      <formula>"No"</formula>
    </cfRule>
  </conditionalFormatting>
  <conditionalFormatting sqref="C30">
    <cfRule type="cellIs" dxfId="216" priority="10" stopIfTrue="1" operator="equal">
      <formula>"No"</formula>
    </cfRule>
  </conditionalFormatting>
  <conditionalFormatting sqref="C20">
    <cfRule type="cellIs" dxfId="215" priority="4" stopIfTrue="1" operator="equal">
      <formula>"No"</formula>
    </cfRule>
  </conditionalFormatting>
  <conditionalFormatting sqref="C15">
    <cfRule type="cellIs" dxfId="214" priority="7" operator="equal">
      <formula>"Winner"</formula>
    </cfRule>
    <cfRule type="cellIs" dxfId="213" priority="8" stopIfTrue="1" operator="equal">
      <formula>"No"</formula>
    </cfRule>
  </conditionalFormatting>
  <conditionalFormatting sqref="D15">
    <cfRule type="cellIs" dxfId="212" priority="5" operator="equal">
      <formula>"Winner"</formula>
    </cfRule>
    <cfRule type="cellIs" dxfId="211" priority="6" stopIfTrue="1" operator="equal">
      <formula>"No"</formula>
    </cfRule>
  </conditionalFormatting>
  <conditionalFormatting sqref="D22">
    <cfRule type="cellIs" dxfId="210" priority="1" stopIfTrue="1" operator="equal">
      <formula>"No"</formula>
    </cfRule>
  </conditionalFormatting>
  <conditionalFormatting sqref="C22">
    <cfRule type="cellIs" dxfId="209" priority="2" stopIfTrue="1" operator="equal">
      <formula>"No"</formula>
    </cfRule>
  </conditionalFormatting>
  <dataValidations count="6">
    <dataValidation type="list" allowBlank="1" showInputMessage="1" showErrorMessage="1" sqref="C12:D12" xr:uid="{00000000-0002-0000-0400-000000000000}">
      <formula1>"1,2,3,4,5,6,7,8,9,10,11,12,13,14,15,16,17,18,19,20"</formula1>
    </dataValidation>
    <dataValidation type="list" allowBlank="1" sqref="C25:D25" xr:uid="{00000000-0002-0000-0400-000001000000}">
      <formula1>tTacticsList</formula1>
    </dataValidation>
    <dataValidation type="list" sqref="C116:D116" xr:uid="{00000000-0002-0000-0400-000002000000}">
      <formula1>"0,1,2,3,4,5"</formula1>
    </dataValidation>
    <dataValidation type="list" sqref="C74:D74 C60:D60 C69:D69 C52:D52 C54:D54 C56:D56 C58:D58 C65:D65 C67:D67 C76:D76 C78:D78 C80:D80 C82:D82 C84:D84 C91:D91 C99:D99 C95:D95 C97:D97 C86:D86 C93:D93 C105:D105 C107:D107 C109:D109 C111:D111 C11:D11 C44:D44 C13:D13 C35:D35 C37:D37 C39:D39 C33:D33 C46:D46 C19:D19 C30:D30 C15:D15" xr:uid="{00000000-0002-0000-0400-000003000000}">
      <formula1>"Yes,No"</formula1>
    </dataValidation>
    <dataValidation type="list" showInputMessage="1" showErrorMessage="1" errorTitle="No Force Selected" error="Please select one of the forces from the available forces on the second tab." promptTitle="First Force" prompt="Select  a Force from the list of available forces (second tab)." sqref="C2" xr:uid="{00000000-0002-0000-0400-000004000000}">
      <formula1>rUnitsNames</formula1>
    </dataValidation>
    <dataValidation type="list" showInputMessage="1" showErrorMessage="1" errorTitle="No Force Selected" error="Please select one of the forces from the available forces on the second tab." promptTitle="Second Force" prompt="Select  a Force from the list of available forces (second tab)." sqref="D2" xr:uid="{00000000-0002-0000-0400-000005000000}">
      <formula1>rUnitsNames</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18"/>
  <sheetViews>
    <sheetView showGridLines="0" zoomScaleNormal="100" workbookViewId="0">
      <pane xSplit="2" ySplit="2" topLeftCell="C3" activePane="bottomRight" state="frozen"/>
      <selection pane="topRight" activeCell="C1" sqref="C1"/>
      <selection pane="bottomLeft" activeCell="A3" sqref="A3"/>
      <selection pane="bottomRight" activeCell="F46" sqref="F46"/>
    </sheetView>
  </sheetViews>
  <sheetFormatPr baseColWidth="10" defaultColWidth="9.1640625" defaultRowHeight="13" outlineLevelRow="1" x14ac:dyDescent="0.15"/>
  <cols>
    <col min="1" max="1" width="9.1640625" style="57"/>
    <col min="2" max="2" width="55" style="57" bestFit="1" customWidth="1"/>
    <col min="3" max="4" width="34.6640625" style="57" customWidth="1"/>
    <col min="5" max="5" width="9.1640625" style="57"/>
    <col min="6" max="6" width="22" style="57" customWidth="1"/>
    <col min="7" max="16384" width="9.1640625" style="57"/>
  </cols>
  <sheetData>
    <row r="1" spans="2:4" ht="6" customHeight="1" x14ac:dyDescent="0.15"/>
    <row r="2" spans="2:4" ht="28" x14ac:dyDescent="0.15">
      <c r="C2" s="87" t="s">
        <v>321</v>
      </c>
      <c r="D2" s="88" t="s">
        <v>326</v>
      </c>
    </row>
    <row r="3" spans="2:4" ht="20.25" customHeight="1" x14ac:dyDescent="0.15">
      <c r="B3" s="241" t="s">
        <v>6</v>
      </c>
      <c r="C3" s="86">
        <v>8</v>
      </c>
      <c r="D3" s="86">
        <v>40</v>
      </c>
    </row>
    <row r="4" spans="2:4" hidden="1" outlineLevel="1" x14ac:dyDescent="0.15">
      <c r="B4" s="232"/>
      <c r="C4" s="233">
        <f>IF(cNumTroops1&gt;cNumTroops2,VLOOKUP(cNumTroops1/cNumTroops2,tRatio,2,TRUE),0)</f>
        <v>0</v>
      </c>
      <c r="D4" s="233">
        <f>IF(cNumTroops2&gt;cNumTroops1,VLOOKUP(cNumTroops2/cNumTroops1,tRatio,2,TRUE),0)</f>
        <v>70</v>
      </c>
    </row>
    <row r="5" spans="2:4" ht="20.25" customHeight="1" collapsed="1" x14ac:dyDescent="0.15">
      <c r="B5" s="241" t="s">
        <v>185</v>
      </c>
      <c r="C5" s="86" t="e">
        <f>HLOOKUP(cForce1,tUnitsStats,27,FALSE)</f>
        <v>#N/A</v>
      </c>
      <c r="D5" s="86">
        <f>HLOOKUP(cForce2,tUnitsStats,27,FALSE)</f>
        <v>75</v>
      </c>
    </row>
    <row r="6" spans="2:4" ht="20.25" customHeight="1" x14ac:dyDescent="0.15">
      <c r="B6" s="241" t="s">
        <v>186</v>
      </c>
      <c r="C6" s="86" t="e">
        <f>HLOOKUP(cForce1,tUnitsStats,28,FALSE)</f>
        <v>#N/A</v>
      </c>
      <c r="D6" s="86" t="str">
        <f>HLOOKUP(cForce2,tUnitsStats,28,FALSE)</f>
        <v>Fair</v>
      </c>
    </row>
    <row r="7" spans="2:4" hidden="1" outlineLevel="1" x14ac:dyDescent="0.15">
      <c r="B7" s="235"/>
      <c r="C7" s="236" t="e">
        <f>IF(C5&gt;0,VLOOKUP(C5,tTroopClass,3,TRUE),"")</f>
        <v>#N/A</v>
      </c>
      <c r="D7" s="236">
        <f>IF(D5&gt;0,VLOOKUP(D5,tTroopClass,3,TRUE),"")</f>
        <v>4</v>
      </c>
    </row>
    <row r="8" spans="2:4" ht="20.25" customHeight="1" collapsed="1" x14ac:dyDescent="0.15">
      <c r="B8" s="241" t="s">
        <v>194</v>
      </c>
      <c r="C8" s="86" t="e">
        <f>HLOOKUP(cForce1,tUnitsStats,39,FALSE)</f>
        <v>#N/A</v>
      </c>
      <c r="D8" s="86">
        <f>HLOOKUP(cForce2,tUnitsStats,39,FALSE)</f>
        <v>75</v>
      </c>
    </row>
    <row r="9" spans="2:4" ht="6" customHeight="1" x14ac:dyDescent="0.15"/>
    <row r="10" spans="2:4" ht="18" customHeight="1" x14ac:dyDescent="0.15">
      <c r="B10" s="281" t="s">
        <v>303</v>
      </c>
      <c r="C10" s="281"/>
      <c r="D10" s="281"/>
    </row>
    <row r="11" spans="2:4" ht="18" customHeight="1" thickBot="1" x14ac:dyDescent="0.2">
      <c r="B11" s="242" t="s">
        <v>304</v>
      </c>
      <c r="C11" s="243" t="e">
        <f ca="1">C8+C4+C28+C41+C48+C62+C71+C88+C102+C113+C117</f>
        <v>#N/A</v>
      </c>
      <c r="D11" s="243" t="e">
        <f ca="1">D8+D4+D28+D41+D48+D62+D71+D88+D102+D113+D117</f>
        <v>#N/A</v>
      </c>
    </row>
    <row r="12" spans="2:4" ht="18" customHeight="1" thickTop="1" thickBot="1" x14ac:dyDescent="0.2">
      <c r="B12" s="85" t="s">
        <v>305</v>
      </c>
      <c r="C12" s="245">
        <v>14</v>
      </c>
      <c r="D12" s="245">
        <v>15</v>
      </c>
    </row>
    <row r="13" spans="2:4" ht="18" customHeight="1" thickTop="1" x14ac:dyDescent="0.15">
      <c r="B13" s="242" t="s">
        <v>306</v>
      </c>
      <c r="C13" s="243" t="e">
        <f ca="1">C11+5*C12</f>
        <v>#N/A</v>
      </c>
      <c r="D13" s="243" t="e">
        <f ca="1">D11+5*D12</f>
        <v>#N/A</v>
      </c>
    </row>
    <row r="14" spans="2:4" hidden="1" outlineLevel="1" x14ac:dyDescent="0.15">
      <c r="B14" s="232" t="s">
        <v>315</v>
      </c>
      <c r="C14" s="233" t="e">
        <f ca="1">ABS(C13-D13)</f>
        <v>#N/A</v>
      </c>
      <c r="D14" s="233" t="e">
        <f ca="1">C13&gt;D13</f>
        <v>#N/A</v>
      </c>
    </row>
    <row r="15" spans="2:4" ht="18" customHeight="1" collapsed="1" x14ac:dyDescent="0.15">
      <c r="B15" s="242" t="s">
        <v>317</v>
      </c>
      <c r="C15" s="247" t="e">
        <f ca="1">IF(D14,"Winner","Loser")</f>
        <v>#N/A</v>
      </c>
      <c r="D15" s="247" t="e">
        <f ca="1">IF(D14,"Loser","Winner")</f>
        <v>#N/A</v>
      </c>
    </row>
    <row r="16" spans="2:4" hidden="1" outlineLevel="1" x14ac:dyDescent="0.15">
      <c r="B16" s="232" t="s">
        <v>314</v>
      </c>
      <c r="C16" s="244" t="e">
        <f ca="1">MAX(0,MIN(100,(VLOOKUP(C14,tCombatResults,2+IF(D14,0,1))+C27)*IF(AND(NOT(D14),D30="Yes"),0.5,1)))/100</f>
        <v>#N/A</v>
      </c>
      <c r="D16" s="244" t="e">
        <f ca="1">MAX(0,MIN(100,(VLOOKUP(C14,tCombatResults,2+IF(D14,1,0))+D27)*IF(AND(D14,C30="Yes"),0.5,1)))/100</f>
        <v>#N/A</v>
      </c>
    </row>
    <row r="17" spans="2:4" hidden="1" outlineLevel="1" x14ac:dyDescent="0.15">
      <c r="B17" s="232" t="s">
        <v>112</v>
      </c>
      <c r="C17" s="240" t="e">
        <f ca="1">ROUND((cNumTroops1*C16/2)*IF(OR(D30="Yes",LEFT(C21,1)="F"),1,0),0)</f>
        <v>#N/A</v>
      </c>
      <c r="D17" s="240" t="e">
        <f ca="1">ROUND((cNumTroops2*D16/2)*IF(OR(C30="Yes",LEFT(D21,1)="F"),1,0),0)</f>
        <v>#N/A</v>
      </c>
    </row>
    <row r="18" spans="2:4" hidden="1" outlineLevel="1" x14ac:dyDescent="0.15">
      <c r="B18" s="232" t="s">
        <v>319</v>
      </c>
      <c r="C18" s="240" t="e">
        <f ca="1">ROUND((cNumTroops1*C16/2)*IF(OR(D30="Yes",LEFT(C21,1)="F"),1,2),0)</f>
        <v>#N/A</v>
      </c>
      <c r="D18" s="240" t="e">
        <f ca="1">ROUND((cNumTroops2*D16/2)*IF(OR(C30="Yes",LEFT(D21,1)="F"),1,2),0)</f>
        <v>#N/A</v>
      </c>
    </row>
    <row r="19" spans="2:4" ht="18" customHeight="1" collapsed="1" x14ac:dyDescent="0.15">
      <c r="B19" s="242" t="s">
        <v>43</v>
      </c>
      <c r="C19" s="243" t="e">
        <f ca="1">C18&amp;" killed"&amp;IF(C17&gt;0,", "&amp;C17&amp;" wounded","")&amp;", "&amp;cNumTroops1-C17-C18&amp;" remaining"</f>
        <v>#N/A</v>
      </c>
      <c r="D19" s="243" t="e">
        <f ca="1">D18&amp;" killed"&amp;IF(D17&gt;0,", "&amp;D17&amp;" wounded","")&amp;", "&amp;cNumTroops2-D17-D18&amp;" remaining"</f>
        <v>#N/A</v>
      </c>
    </row>
    <row r="20" spans="2:4" ht="18" customHeight="1" x14ac:dyDescent="0.15">
      <c r="B20" s="242" t="s">
        <v>320</v>
      </c>
      <c r="C20" s="249" t="e">
        <f ca="1">VLOOKUP(C14,tCombatResults,4+IF(D14,0,1))</f>
        <v>#N/A</v>
      </c>
      <c r="D20" s="249" t="e">
        <f ca="1">VLOOKUP(C14,tCombatResults,4+IF(D14,1,0))</f>
        <v>#N/A</v>
      </c>
    </row>
    <row r="21" spans="2:4" hidden="1" outlineLevel="1" x14ac:dyDescent="0.15">
      <c r="B21" s="232" t="s">
        <v>95</v>
      </c>
      <c r="C21" s="240" t="e">
        <f ca="1">VLOOKUP(C14,tCombatResults,6+IF(D14,0,1),TRUE)</f>
        <v>#N/A</v>
      </c>
      <c r="D21" s="240" t="e">
        <f ca="1">VLOOKUP(C14,tCombatResults,6+IF(D14,1,0),TRUE)</f>
        <v>#N/A</v>
      </c>
    </row>
    <row r="22" spans="2:4" collapsed="1" x14ac:dyDescent="0.15">
      <c r="B22" s="242" t="s">
        <v>95</v>
      </c>
      <c r="C22" s="248" t="e">
        <f ca="1">VLOOKUP(C21,tLocationResults,2,FALSE)</f>
        <v>#N/A</v>
      </c>
      <c r="D22" s="248" t="e">
        <f ca="1">VLOOKUP(D21,tLocationResults,2,FALSE)</f>
        <v>#N/A</v>
      </c>
    </row>
    <row r="23" spans="2:4" ht="6" customHeight="1" x14ac:dyDescent="0.15"/>
    <row r="24" spans="2:4" ht="18" customHeight="1" thickBot="1" x14ac:dyDescent="0.2">
      <c r="B24" s="280" t="s">
        <v>128</v>
      </c>
      <c r="C24" s="280"/>
      <c r="D24" s="280"/>
    </row>
    <row r="25" spans="2:4" ht="18" customHeight="1" thickTop="1" thickBot="1" x14ac:dyDescent="0.2">
      <c r="B25" s="85" t="s">
        <v>297</v>
      </c>
      <c r="C25" s="245" t="s">
        <v>126</v>
      </c>
      <c r="D25" s="245" t="s">
        <v>125</v>
      </c>
    </row>
    <row r="26" spans="2:4" ht="15" hidden="1" outlineLevel="1" thickTop="1" thickBot="1" x14ac:dyDescent="0.2">
      <c r="B26" s="234" t="s">
        <v>298</v>
      </c>
      <c r="C26" s="240">
        <f>MATCH(C25,tTacticsList,0)</f>
        <v>2</v>
      </c>
      <c r="D26" s="240">
        <f>MATCH(D25,tTacticsList,0)</f>
        <v>6</v>
      </c>
    </row>
    <row r="27" spans="2:4" ht="15" hidden="1" outlineLevel="1" thickTop="1" thickBot="1" x14ac:dyDescent="0.2">
      <c r="B27" s="237" t="s">
        <v>299</v>
      </c>
      <c r="C27" s="238">
        <f ca="1">OFFSET(tTacticsCasualties,'Machines-Wererats'!D26,'Machines-Wererats'!C26)</f>
        <v>0</v>
      </c>
      <c r="D27" s="238">
        <f ca="1">OFFSET(tTacticsCasualties,'Machines-Wererats'!C26,'Machines-Wererats'!D26)</f>
        <v>20</v>
      </c>
    </row>
    <row r="28" spans="2:4" ht="15" hidden="1" outlineLevel="1" thickTop="1" thickBot="1" x14ac:dyDescent="0.2">
      <c r="B28" s="237" t="s">
        <v>80</v>
      </c>
      <c r="C28" s="238">
        <f ca="1">OFFSET(tTacticsBonus,'Machines-Wererats'!D26,'Machines-Wererats'!C26)</f>
        <v>10</v>
      </c>
      <c r="D28" s="238">
        <f ca="1">OFFSET(tTacticsBonus,'Machines-Wererats'!C26,'Machines-Wererats'!D26)</f>
        <v>0</v>
      </c>
    </row>
    <row r="29" spans="2:4" ht="15" hidden="1" outlineLevel="1" thickTop="1" thickBot="1" x14ac:dyDescent="0.2">
      <c r="B29" s="237" t="s">
        <v>301</v>
      </c>
      <c r="C29" s="238">
        <f ca="1">OFFSET(tTacticsEffects,'Machines-Wererats'!D26,'Machines-Wererats'!C26)</f>
        <v>0</v>
      </c>
      <c r="D29" s="238">
        <f ca="1">OFFSET(tTacticsEffects,'Machines-Wererats'!C26,'Machines-Wererats'!D26)</f>
        <v>0</v>
      </c>
    </row>
    <row r="30" spans="2:4" ht="18" customHeight="1" collapsed="1" thickTop="1" thickBot="1" x14ac:dyDescent="0.2">
      <c r="B30" s="85" t="s">
        <v>316</v>
      </c>
      <c r="C30" s="246" t="s">
        <v>200</v>
      </c>
      <c r="D30" s="246" t="s">
        <v>200</v>
      </c>
    </row>
    <row r="31" spans="2:4" ht="6" customHeight="1" thickTop="1" x14ac:dyDescent="0.15"/>
    <row r="32" spans="2:4" ht="18" customHeight="1" x14ac:dyDescent="0.15">
      <c r="B32" s="280" t="s">
        <v>307</v>
      </c>
      <c r="C32" s="280"/>
      <c r="D32" s="280"/>
    </row>
    <row r="33" spans="2:4" ht="18" customHeight="1" x14ac:dyDescent="0.15">
      <c r="B33" s="85" t="s">
        <v>311</v>
      </c>
      <c r="C33" s="93" t="s">
        <v>200</v>
      </c>
      <c r="D33" s="93" t="s">
        <v>200</v>
      </c>
    </row>
    <row r="34" spans="2:4" hidden="1" outlineLevel="1" x14ac:dyDescent="0.15">
      <c r="B34" s="232"/>
      <c r="C34" s="233">
        <f>IF(C33="Yes",50,0)</f>
        <v>0</v>
      </c>
      <c r="D34" s="233">
        <f>IF(D33="Yes",50,0)</f>
        <v>0</v>
      </c>
    </row>
    <row r="35" spans="2:4" ht="18" customHeight="1" collapsed="1" x14ac:dyDescent="0.15">
      <c r="B35" s="85" t="s">
        <v>312</v>
      </c>
      <c r="C35" s="93" t="s">
        <v>200</v>
      </c>
      <c r="D35" s="93" t="s">
        <v>200</v>
      </c>
    </row>
    <row r="36" spans="2:4" hidden="1" outlineLevel="1" x14ac:dyDescent="0.15">
      <c r="B36" s="232"/>
      <c r="C36" s="233">
        <f>IF(C35="Yes",20,0)</f>
        <v>0</v>
      </c>
      <c r="D36" s="233">
        <f>IF(D35="Yes",20,0)</f>
        <v>0</v>
      </c>
    </row>
    <row r="37" spans="2:4" ht="18" customHeight="1" collapsed="1" x14ac:dyDescent="0.15">
      <c r="B37" s="85" t="s">
        <v>313</v>
      </c>
      <c r="C37" s="93" t="s">
        <v>200</v>
      </c>
      <c r="D37" s="93" t="s">
        <v>200</v>
      </c>
    </row>
    <row r="38" spans="2:4" hidden="1" outlineLevel="1" x14ac:dyDescent="0.15">
      <c r="B38" s="232"/>
      <c r="C38" s="233">
        <f>IF(C37="Yes",10,0)</f>
        <v>0</v>
      </c>
      <c r="D38" s="233">
        <f>IF(D37="Yes",10,0)</f>
        <v>0</v>
      </c>
    </row>
    <row r="39" spans="2:4" ht="18" customHeight="1" collapsed="1" x14ac:dyDescent="0.15">
      <c r="B39" s="85" t="s">
        <v>308</v>
      </c>
      <c r="C39" s="93" t="s">
        <v>200</v>
      </c>
      <c r="D39" s="93" t="s">
        <v>200</v>
      </c>
    </row>
    <row r="40" spans="2:4" hidden="1" outlineLevel="1" x14ac:dyDescent="0.15">
      <c r="B40" s="232"/>
      <c r="C40" s="233">
        <f>IF(C39="Yes",-25,0)</f>
        <v>0</v>
      </c>
      <c r="D40" s="233">
        <f>IF(D39="Yes",-25,0)</f>
        <v>0</v>
      </c>
    </row>
    <row r="41" spans="2:4" hidden="1" outlineLevel="1" x14ac:dyDescent="0.15">
      <c r="B41" s="237"/>
      <c r="C41" s="238">
        <f>C34+C36+C38+C40</f>
        <v>0</v>
      </c>
      <c r="D41" s="238">
        <f>D34+D36+D38+D40</f>
        <v>0</v>
      </c>
    </row>
    <row r="42" spans="2:4" ht="6" customHeight="1" collapsed="1" x14ac:dyDescent="0.15"/>
    <row r="43" spans="2:4" ht="18" customHeight="1" x14ac:dyDescent="0.15">
      <c r="B43" s="280" t="s">
        <v>61</v>
      </c>
      <c r="C43" s="280"/>
      <c r="D43" s="280"/>
    </row>
    <row r="44" spans="2:4" ht="18" customHeight="1" x14ac:dyDescent="0.15">
      <c r="B44" s="85" t="s">
        <v>309</v>
      </c>
      <c r="C44" s="93" t="s">
        <v>200</v>
      </c>
      <c r="D44" s="93" t="s">
        <v>200</v>
      </c>
    </row>
    <row r="45" spans="2:4" hidden="1" outlineLevel="1" x14ac:dyDescent="0.15">
      <c r="B45" s="232"/>
      <c r="C45" s="233">
        <f>IF(C44="Yes",40,0)</f>
        <v>0</v>
      </c>
      <c r="D45" s="233">
        <f>IF(D44="Yes",40,0)</f>
        <v>0</v>
      </c>
    </row>
    <row r="46" spans="2:4" ht="18" customHeight="1" collapsed="1" x14ac:dyDescent="0.15">
      <c r="B46" s="85" t="s">
        <v>310</v>
      </c>
      <c r="C46" s="93" t="s">
        <v>200</v>
      </c>
      <c r="D46" s="93" t="s">
        <v>200</v>
      </c>
    </row>
    <row r="47" spans="2:4" hidden="1" outlineLevel="1" x14ac:dyDescent="0.15">
      <c r="B47" s="232"/>
      <c r="C47" s="233">
        <f>IF(C46="Yes",20,0)</f>
        <v>0</v>
      </c>
      <c r="D47" s="233">
        <f>IF(D46="Yes",20,0)</f>
        <v>0</v>
      </c>
    </row>
    <row r="48" spans="2:4" hidden="1" outlineLevel="1" x14ac:dyDescent="0.15">
      <c r="B48" s="237"/>
      <c r="C48" s="238">
        <f>C45+C47</f>
        <v>0</v>
      </c>
      <c r="D48" s="238">
        <f>D45+D47</f>
        <v>0</v>
      </c>
    </row>
    <row r="49" spans="2:4" ht="6" customHeight="1" collapsed="1" x14ac:dyDescent="0.15"/>
    <row r="50" spans="2:4" ht="18" customHeight="1" x14ac:dyDescent="0.15">
      <c r="B50" s="280" t="s">
        <v>58</v>
      </c>
      <c r="C50" s="280"/>
      <c r="D50" s="280"/>
    </row>
    <row r="51" spans="2:4" hidden="1" outlineLevel="1" x14ac:dyDescent="0.15">
      <c r="B51" s="234" t="s">
        <v>290</v>
      </c>
      <c r="C51" s="233" t="e">
        <f>IF(C7&gt;D7,(C7-D7)*5,0)</f>
        <v>#N/A</v>
      </c>
      <c r="D51" s="233" t="e">
        <f>IF(D7&gt;C7,(D7-C7)*5,0)</f>
        <v>#N/A</v>
      </c>
    </row>
    <row r="52" spans="2:4" ht="18" customHeight="1" collapsed="1" x14ac:dyDescent="0.15">
      <c r="B52" s="85" t="s">
        <v>196</v>
      </c>
      <c r="C52" s="93" t="s">
        <v>200</v>
      </c>
      <c r="D52" s="93" t="s">
        <v>200</v>
      </c>
    </row>
    <row r="53" spans="2:4" hidden="1" outlineLevel="1" x14ac:dyDescent="0.15">
      <c r="B53" s="232"/>
      <c r="C53" s="233">
        <f>IF(C52="Yes",10,0)</f>
        <v>0</v>
      </c>
      <c r="D53" s="233">
        <f>IF(D52="Yes",10,0)</f>
        <v>0</v>
      </c>
    </row>
    <row r="54" spans="2:4" ht="18" customHeight="1" collapsed="1" x14ac:dyDescent="0.15">
      <c r="B54" s="85" t="s">
        <v>201</v>
      </c>
      <c r="C54" s="93" t="s">
        <v>200</v>
      </c>
      <c r="D54" s="93" t="s">
        <v>200</v>
      </c>
    </row>
    <row r="55" spans="2:4" hidden="1" outlineLevel="1" x14ac:dyDescent="0.15">
      <c r="B55" s="232"/>
      <c r="C55" s="233">
        <f>IF(C54="Yes",10,0)</f>
        <v>0</v>
      </c>
      <c r="D55" s="233">
        <f>IF(D54="Yes",10,0)</f>
        <v>0</v>
      </c>
    </row>
    <row r="56" spans="2:4" ht="18" customHeight="1" collapsed="1" x14ac:dyDescent="0.15">
      <c r="B56" s="85" t="s">
        <v>202</v>
      </c>
      <c r="C56" s="93" t="s">
        <v>200</v>
      </c>
      <c r="D56" s="93" t="s">
        <v>200</v>
      </c>
    </row>
    <row r="57" spans="2:4" hidden="1" outlineLevel="1" x14ac:dyDescent="0.15">
      <c r="B57" s="232"/>
      <c r="C57" s="233">
        <f>IF(C56="Yes",-20,0)</f>
        <v>0</v>
      </c>
      <c r="D57" s="233">
        <f>IF(D56="Yes",-20,0)</f>
        <v>0</v>
      </c>
    </row>
    <row r="58" spans="2:4" ht="18" customHeight="1" collapsed="1" x14ac:dyDescent="0.15">
      <c r="B58" s="85" t="s">
        <v>197</v>
      </c>
      <c r="C58" s="93" t="s">
        <v>200</v>
      </c>
      <c r="D58" s="93" t="s">
        <v>200</v>
      </c>
    </row>
    <row r="59" spans="2:4" hidden="1" outlineLevel="1" x14ac:dyDescent="0.15">
      <c r="B59" s="232"/>
      <c r="C59" s="233">
        <f>IF(C58="Yes",30,0)</f>
        <v>0</v>
      </c>
      <c r="D59" s="233">
        <f>IF(D58="Yes",30,0)</f>
        <v>0</v>
      </c>
    </row>
    <row r="60" spans="2:4" ht="18" customHeight="1" collapsed="1" x14ac:dyDescent="0.15">
      <c r="B60" s="85" t="s">
        <v>198</v>
      </c>
      <c r="C60" s="93" t="s">
        <v>200</v>
      </c>
      <c r="D60" s="93" t="s">
        <v>200</v>
      </c>
    </row>
    <row r="61" spans="2:4" hidden="1" outlineLevel="1" x14ac:dyDescent="0.15">
      <c r="B61" s="232"/>
      <c r="C61" s="233">
        <f>IF(C60="Yes",-10,0)</f>
        <v>0</v>
      </c>
      <c r="D61" s="233">
        <f>IF(D60="Yes",-10,0)</f>
        <v>0</v>
      </c>
    </row>
    <row r="62" spans="2:4" hidden="1" outlineLevel="1" x14ac:dyDescent="0.15">
      <c r="B62" s="237"/>
      <c r="C62" s="238" t="e">
        <f>C51+C53+C55+C57+C59+C61</f>
        <v>#N/A</v>
      </c>
      <c r="D62" s="238" t="e">
        <f>D51+D53+D55+D57+D59+D61</f>
        <v>#N/A</v>
      </c>
    </row>
    <row r="63" spans="2:4" ht="6" customHeight="1" collapsed="1" x14ac:dyDescent="0.15"/>
    <row r="64" spans="2:4" ht="18" customHeight="1" x14ac:dyDescent="0.15">
      <c r="B64" s="280" t="s">
        <v>61</v>
      </c>
      <c r="C64" s="280"/>
      <c r="D64" s="280"/>
    </row>
    <row r="65" spans="2:4" ht="18" customHeight="1" x14ac:dyDescent="0.15">
      <c r="B65" s="85" t="s">
        <v>204</v>
      </c>
      <c r="C65" s="93" t="s">
        <v>200</v>
      </c>
      <c r="D65" s="93" t="s">
        <v>200</v>
      </c>
    </row>
    <row r="66" spans="2:4" hidden="1" outlineLevel="1" x14ac:dyDescent="0.15">
      <c r="B66" s="232"/>
      <c r="C66" s="233">
        <f>IF(C65="Yes",25,0)</f>
        <v>0</v>
      </c>
      <c r="D66" s="233">
        <f>IF(D65="Yes",25,0)</f>
        <v>0</v>
      </c>
    </row>
    <row r="67" spans="2:4" ht="18" customHeight="1" collapsed="1" x14ac:dyDescent="0.15">
      <c r="B67" s="85" t="s">
        <v>205</v>
      </c>
      <c r="C67" s="93" t="s">
        <v>200</v>
      </c>
      <c r="D67" s="93" t="s">
        <v>200</v>
      </c>
    </row>
    <row r="68" spans="2:4" hidden="1" outlineLevel="1" x14ac:dyDescent="0.15">
      <c r="B68" s="232"/>
      <c r="C68" s="233">
        <f>IF(C67="Yes",-25,0)</f>
        <v>0</v>
      </c>
      <c r="D68" s="233">
        <f>IF(D67="Yes",-25,0)</f>
        <v>0</v>
      </c>
    </row>
    <row r="69" spans="2:4" ht="18" customHeight="1" collapsed="1" x14ac:dyDescent="0.15">
      <c r="B69" s="85" t="s">
        <v>224</v>
      </c>
      <c r="C69" s="93" t="s">
        <v>200</v>
      </c>
      <c r="D69" s="93" t="s">
        <v>200</v>
      </c>
    </row>
    <row r="70" spans="2:4" hidden="1" outlineLevel="1" x14ac:dyDescent="0.15">
      <c r="B70" s="232"/>
      <c r="C70" s="233">
        <f>IF(C69="Yes",20,0)</f>
        <v>0</v>
      </c>
      <c r="D70" s="233">
        <f>IF(D69="Yes",20,0)</f>
        <v>0</v>
      </c>
    </row>
    <row r="71" spans="2:4" hidden="1" outlineLevel="1" x14ac:dyDescent="0.15">
      <c r="B71" s="237"/>
      <c r="C71" s="238">
        <f>C66+C68+C70</f>
        <v>0</v>
      </c>
      <c r="D71" s="238">
        <f>D66+D68+D70</f>
        <v>0</v>
      </c>
    </row>
    <row r="72" spans="2:4" ht="6" customHeight="1" collapsed="1" x14ac:dyDescent="0.15"/>
    <row r="73" spans="2:4" ht="18" customHeight="1" x14ac:dyDescent="0.15">
      <c r="B73" s="280" t="s">
        <v>74</v>
      </c>
      <c r="C73" s="280"/>
      <c r="D73" s="280"/>
    </row>
    <row r="74" spans="2:4" ht="18" customHeight="1" x14ac:dyDescent="0.15">
      <c r="B74" s="85" t="s">
        <v>206</v>
      </c>
      <c r="C74" s="93" t="s">
        <v>200</v>
      </c>
      <c r="D74" s="93" t="s">
        <v>200</v>
      </c>
    </row>
    <row r="75" spans="2:4" hidden="1" outlineLevel="1" x14ac:dyDescent="0.15">
      <c r="B75" s="232"/>
      <c r="C75" s="233">
        <f>IF(C74="Yes",20,0)</f>
        <v>0</v>
      </c>
      <c r="D75" s="233">
        <f>IF(D74="Yes",20,0)</f>
        <v>0</v>
      </c>
    </row>
    <row r="76" spans="2:4" ht="18" customHeight="1" collapsed="1" x14ac:dyDescent="0.15">
      <c r="B76" s="85" t="s">
        <v>207</v>
      </c>
      <c r="C76" s="93" t="s">
        <v>200</v>
      </c>
      <c r="D76" s="93" t="s">
        <v>200</v>
      </c>
    </row>
    <row r="77" spans="2:4" hidden="1" outlineLevel="1" x14ac:dyDescent="0.15">
      <c r="B77" s="232"/>
      <c r="C77" s="233">
        <f>IF(C76="Yes",20,0)</f>
        <v>0</v>
      </c>
      <c r="D77" s="233">
        <f>IF(D76="Yes",20,0)</f>
        <v>0</v>
      </c>
    </row>
    <row r="78" spans="2:4" ht="18" customHeight="1" collapsed="1" x14ac:dyDescent="0.15">
      <c r="B78" s="85" t="s">
        <v>208</v>
      </c>
      <c r="C78" s="93" t="s">
        <v>200</v>
      </c>
      <c r="D78" s="93" t="s">
        <v>200</v>
      </c>
    </row>
    <row r="79" spans="2:4" hidden="1" outlineLevel="1" x14ac:dyDescent="0.15">
      <c r="B79" s="232"/>
      <c r="C79" s="233">
        <f>IF(C78="Yes",10,0)</f>
        <v>0</v>
      </c>
      <c r="D79" s="233">
        <f>IF(D78="Yes",10,0)</f>
        <v>0</v>
      </c>
    </row>
    <row r="80" spans="2:4" ht="18" customHeight="1" collapsed="1" x14ac:dyDescent="0.15">
      <c r="B80" s="85" t="s">
        <v>209</v>
      </c>
      <c r="C80" s="93" t="s">
        <v>200</v>
      </c>
      <c r="D80" s="93" t="s">
        <v>200</v>
      </c>
    </row>
    <row r="81" spans="2:4" hidden="1" outlineLevel="1" x14ac:dyDescent="0.15">
      <c r="B81" s="232"/>
      <c r="C81" s="233">
        <f>IF(C80="Yes",20,0)</f>
        <v>0</v>
      </c>
      <c r="D81" s="233">
        <f>IF(D80="Yes",20,0)</f>
        <v>0</v>
      </c>
    </row>
    <row r="82" spans="2:4" ht="18" customHeight="1" collapsed="1" x14ac:dyDescent="0.15">
      <c r="B82" s="85" t="s">
        <v>210</v>
      </c>
      <c r="C82" s="93" t="s">
        <v>200</v>
      </c>
      <c r="D82" s="93" t="s">
        <v>200</v>
      </c>
    </row>
    <row r="83" spans="2:4" hidden="1" outlineLevel="1" x14ac:dyDescent="0.15">
      <c r="B83" s="232"/>
      <c r="C83" s="233">
        <f>IF(C82="Yes",-20,0)</f>
        <v>0</v>
      </c>
      <c r="D83" s="233">
        <f>IF(D82="Yes",-20,0)</f>
        <v>0</v>
      </c>
    </row>
    <row r="84" spans="2:4" ht="18" customHeight="1" collapsed="1" x14ac:dyDescent="0.15">
      <c r="B84" s="85" t="s">
        <v>211</v>
      </c>
      <c r="C84" s="93" t="s">
        <v>200</v>
      </c>
      <c r="D84" s="93" t="s">
        <v>200</v>
      </c>
    </row>
    <row r="85" spans="2:4" hidden="1" outlineLevel="1" x14ac:dyDescent="0.15">
      <c r="B85" s="232"/>
      <c r="C85" s="233">
        <f>IF(C84="Yes",-20,0)</f>
        <v>0</v>
      </c>
      <c r="D85" s="233">
        <f>IF(D84="Yes",-20,0)</f>
        <v>0</v>
      </c>
    </row>
    <row r="86" spans="2:4" ht="18" customHeight="1" collapsed="1" x14ac:dyDescent="0.15">
      <c r="B86" s="85" t="s">
        <v>212</v>
      </c>
      <c r="C86" s="93" t="s">
        <v>200</v>
      </c>
      <c r="D86" s="93" t="s">
        <v>200</v>
      </c>
    </row>
    <row r="87" spans="2:4" hidden="1" outlineLevel="1" x14ac:dyDescent="0.15">
      <c r="B87" s="232"/>
      <c r="C87" s="233">
        <f>IF(C86="Yes",-10,0)</f>
        <v>0</v>
      </c>
      <c r="D87" s="233">
        <f>IF(D86="Yes",-10,0)</f>
        <v>0</v>
      </c>
    </row>
    <row r="88" spans="2:4" hidden="1" outlineLevel="1" x14ac:dyDescent="0.15">
      <c r="B88" s="237"/>
      <c r="C88" s="238">
        <f>C75+C77+C79+C81+C83+C85+C87</f>
        <v>0</v>
      </c>
      <c r="D88" s="238">
        <f>D75+D77+D79+D81+D83+D85+D87</f>
        <v>0</v>
      </c>
    </row>
    <row r="89" spans="2:4" ht="6" customHeight="1" collapsed="1" x14ac:dyDescent="0.15"/>
    <row r="90" spans="2:4" ht="18" customHeight="1" x14ac:dyDescent="0.15">
      <c r="B90" s="280" t="s">
        <v>213</v>
      </c>
      <c r="C90" s="280"/>
      <c r="D90" s="280"/>
    </row>
    <row r="91" spans="2:4" ht="18" customHeight="1" x14ac:dyDescent="0.15">
      <c r="B91" s="85" t="s">
        <v>214</v>
      </c>
      <c r="C91" s="93" t="s">
        <v>200</v>
      </c>
      <c r="D91" s="93" t="s">
        <v>200</v>
      </c>
    </row>
    <row r="92" spans="2:4" hidden="1" outlineLevel="1" x14ac:dyDescent="0.15">
      <c r="B92" s="232"/>
      <c r="C92" s="233">
        <f>IF(C91="Yes",10,0)</f>
        <v>0</v>
      </c>
      <c r="D92" s="233">
        <f>IF(D91="Yes",10,0)</f>
        <v>0</v>
      </c>
    </row>
    <row r="93" spans="2:4" ht="18" customHeight="1" collapsed="1" x14ac:dyDescent="0.15">
      <c r="B93" s="85" t="s">
        <v>215</v>
      </c>
      <c r="C93" s="93" t="s">
        <v>200</v>
      </c>
      <c r="D93" s="93" t="s">
        <v>200</v>
      </c>
    </row>
    <row r="94" spans="2:4" hidden="1" outlineLevel="1" x14ac:dyDescent="0.15">
      <c r="B94" s="232"/>
      <c r="C94" s="233">
        <f>IF(C93="Yes",50,0)</f>
        <v>0</v>
      </c>
      <c r="D94" s="233">
        <f>IF(D93="Yes",50,0)</f>
        <v>0</v>
      </c>
    </row>
    <row r="95" spans="2:4" ht="18" customHeight="1" collapsed="1" x14ac:dyDescent="0.15">
      <c r="B95" s="85" t="s">
        <v>216</v>
      </c>
      <c r="C95" s="93" t="s">
        <v>200</v>
      </c>
      <c r="D95" s="93" t="s">
        <v>200</v>
      </c>
    </row>
    <row r="96" spans="2:4" hidden="1" outlineLevel="1" x14ac:dyDescent="0.15">
      <c r="B96" s="232"/>
      <c r="C96" s="233">
        <f>IF(C95="Yes",40,0)</f>
        <v>0</v>
      </c>
      <c r="D96" s="233">
        <f>IF(D95="Yes",40,0)</f>
        <v>0</v>
      </c>
    </row>
    <row r="97" spans="2:4" ht="18" customHeight="1" collapsed="1" x14ac:dyDescent="0.15">
      <c r="B97" s="85" t="s">
        <v>217</v>
      </c>
      <c r="C97" s="93" t="s">
        <v>200</v>
      </c>
      <c r="D97" s="93" t="s">
        <v>200</v>
      </c>
    </row>
    <row r="98" spans="2:4" hidden="1" outlineLevel="1" x14ac:dyDescent="0.15">
      <c r="B98" s="232"/>
      <c r="C98" s="233">
        <f>IF(C97="Yes",20,0)</f>
        <v>0</v>
      </c>
      <c r="D98" s="233">
        <f>IF(D97="Yes",20,0)</f>
        <v>0</v>
      </c>
    </row>
    <row r="99" spans="2:4" ht="18" customHeight="1" collapsed="1" x14ac:dyDescent="0.15">
      <c r="B99" s="85" t="s">
        <v>225</v>
      </c>
      <c r="C99" s="93" t="s">
        <v>200</v>
      </c>
      <c r="D99" s="93" t="s">
        <v>200</v>
      </c>
    </row>
    <row r="100" spans="2:4" hidden="1" outlineLevel="1" x14ac:dyDescent="0.15">
      <c r="B100" s="232"/>
      <c r="C100" s="233">
        <f>IF(C99="Yes",50,0)</f>
        <v>0</v>
      </c>
      <c r="D100" s="233">
        <f>IF(D99="Yes",50,0)</f>
        <v>0</v>
      </c>
    </row>
    <row r="101" spans="2:4" hidden="1" outlineLevel="1" x14ac:dyDescent="0.15">
      <c r="B101" s="235"/>
      <c r="C101" s="236" t="e">
        <f>HLOOKUP(cForce1,tUnitsStats,36,FALSE)*100</f>
        <v>#N/A</v>
      </c>
      <c r="D101" s="236">
        <f>HLOOKUP(cForce2,tUnitsStats,36,FALSE)*100</f>
        <v>0</v>
      </c>
    </row>
    <row r="102" spans="2:4" hidden="1" outlineLevel="1" x14ac:dyDescent="0.15">
      <c r="B102" s="237"/>
      <c r="C102" s="238">
        <f>(C92+C94+C96+C98+C100)*IF(D101&gt;99,0,IF(D101&gt;4,0.5,1))</f>
        <v>0</v>
      </c>
      <c r="D102" s="238" t="e">
        <f>(D92+D94+D96+D98+D100)*IF(C101&gt;99,0,IF(C101&gt;4,0.5,1))</f>
        <v>#N/A</v>
      </c>
    </row>
    <row r="103" spans="2:4" ht="6" customHeight="1" collapsed="1" x14ac:dyDescent="0.15"/>
    <row r="104" spans="2:4" ht="18" customHeight="1" x14ac:dyDescent="0.15">
      <c r="B104" s="280" t="s">
        <v>295</v>
      </c>
      <c r="C104" s="280"/>
      <c r="D104" s="280"/>
    </row>
    <row r="105" spans="2:4" ht="18" customHeight="1" x14ac:dyDescent="0.15">
      <c r="B105" s="85" t="s">
        <v>291</v>
      </c>
      <c r="C105" s="93" t="s">
        <v>200</v>
      </c>
      <c r="D105" s="93" t="s">
        <v>200</v>
      </c>
    </row>
    <row r="106" spans="2:4" hidden="1" outlineLevel="1" x14ac:dyDescent="0.15">
      <c r="B106" s="232"/>
      <c r="C106" s="233">
        <f>IF(C105="Yes",150,0)</f>
        <v>0</v>
      </c>
      <c r="D106" s="233">
        <f>IF(D105="Yes",150,0)</f>
        <v>0</v>
      </c>
    </row>
    <row r="107" spans="2:4" ht="18" customHeight="1" collapsed="1" x14ac:dyDescent="0.15">
      <c r="B107" s="85" t="s">
        <v>292</v>
      </c>
      <c r="C107" s="93" t="s">
        <v>200</v>
      </c>
      <c r="D107" s="93" t="s">
        <v>200</v>
      </c>
    </row>
    <row r="108" spans="2:4" hidden="1" outlineLevel="1" x14ac:dyDescent="0.15">
      <c r="B108" s="232"/>
      <c r="C108" s="233">
        <f>IF(C107="Yes",50,0)</f>
        <v>0</v>
      </c>
      <c r="D108" s="233">
        <f>IF(D107="Yes",50,0)</f>
        <v>0</v>
      </c>
    </row>
    <row r="109" spans="2:4" ht="18" customHeight="1" collapsed="1" x14ac:dyDescent="0.15">
      <c r="B109" s="85" t="s">
        <v>293</v>
      </c>
      <c r="C109" s="93" t="s">
        <v>200</v>
      </c>
      <c r="D109" s="93" t="s">
        <v>200</v>
      </c>
    </row>
    <row r="110" spans="2:4" hidden="1" outlineLevel="1" x14ac:dyDescent="0.15">
      <c r="B110" s="232"/>
      <c r="C110" s="233">
        <f>IF(C109="Yes",50,0)</f>
        <v>0</v>
      </c>
      <c r="D110" s="233">
        <f>IF(D109="Yes",50,0)</f>
        <v>0</v>
      </c>
    </row>
    <row r="111" spans="2:4" ht="18" customHeight="1" collapsed="1" x14ac:dyDescent="0.15">
      <c r="B111" s="85" t="s">
        <v>294</v>
      </c>
      <c r="C111" s="93" t="s">
        <v>200</v>
      </c>
      <c r="D111" s="93" t="s">
        <v>200</v>
      </c>
    </row>
    <row r="112" spans="2:4" hidden="1" outlineLevel="1" x14ac:dyDescent="0.15">
      <c r="B112" s="232"/>
      <c r="C112" s="233">
        <f>IF(C111="Yes",20,0)</f>
        <v>0</v>
      </c>
      <c r="D112" s="233">
        <f>IF(D111="Yes",20,0)</f>
        <v>0</v>
      </c>
    </row>
    <row r="113" spans="2:4" hidden="1" outlineLevel="1" x14ac:dyDescent="0.15">
      <c r="B113" s="237"/>
      <c r="C113" s="238">
        <f>C106+C108+C110+C112</f>
        <v>0</v>
      </c>
      <c r="D113" s="238">
        <f>D106+D108+D110+D112</f>
        <v>0</v>
      </c>
    </row>
    <row r="114" spans="2:4" ht="6" customHeight="1" collapsed="1" x14ac:dyDescent="0.15"/>
    <row r="115" spans="2:4" ht="18" customHeight="1" x14ac:dyDescent="0.15">
      <c r="B115" s="280" t="s">
        <v>218</v>
      </c>
      <c r="C115" s="280"/>
      <c r="D115" s="280"/>
    </row>
    <row r="116" spans="2:4" ht="18" customHeight="1" x14ac:dyDescent="0.15">
      <c r="B116" s="85" t="s">
        <v>219</v>
      </c>
      <c r="C116" s="86">
        <v>0</v>
      </c>
      <c r="D116" s="86">
        <v>0</v>
      </c>
    </row>
    <row r="117" spans="2:4" hidden="1" outlineLevel="1" x14ac:dyDescent="0.15">
      <c r="B117" s="237"/>
      <c r="C117" s="238">
        <f>-C116*10</f>
        <v>0</v>
      </c>
      <c r="D117" s="238">
        <f>-D116*10</f>
        <v>0</v>
      </c>
    </row>
    <row r="118" spans="2:4" ht="6" customHeight="1" collapsed="1" x14ac:dyDescent="0.15"/>
  </sheetData>
  <mergeCells count="10">
    <mergeCell ref="B73:D73"/>
    <mergeCell ref="B90:D90"/>
    <mergeCell ref="B104:D104"/>
    <mergeCell ref="B115:D115"/>
    <mergeCell ref="B10:D10"/>
    <mergeCell ref="B24:D24"/>
    <mergeCell ref="B32:D32"/>
    <mergeCell ref="B43:D43"/>
    <mergeCell ref="B50:D50"/>
    <mergeCell ref="B64:D64"/>
  </mergeCells>
  <conditionalFormatting sqref="C52:D52 C54:D54 C56:D56 C58:D58 C60:D60">
    <cfRule type="cellIs" dxfId="208" priority="50" stopIfTrue="1" operator="equal">
      <formula>"No"</formula>
    </cfRule>
  </conditionalFormatting>
  <conditionalFormatting sqref="C65:D65 C67:D67 C69:D69">
    <cfRule type="cellIs" dxfId="207" priority="49" stopIfTrue="1" operator="equal">
      <formula>"No"</formula>
    </cfRule>
  </conditionalFormatting>
  <conditionalFormatting sqref="C97">
    <cfRule type="cellIs" dxfId="206" priority="40" stopIfTrue="1" operator="equal">
      <formula>"No"</formula>
    </cfRule>
  </conditionalFormatting>
  <conditionalFormatting sqref="C74">
    <cfRule type="cellIs" dxfId="205" priority="48" stopIfTrue="1" operator="equal">
      <formula>"No"</formula>
    </cfRule>
  </conditionalFormatting>
  <conditionalFormatting sqref="C76">
    <cfRule type="cellIs" dxfId="204" priority="47" stopIfTrue="1" operator="equal">
      <formula>"No"</formula>
    </cfRule>
  </conditionalFormatting>
  <conditionalFormatting sqref="C78">
    <cfRule type="cellIs" dxfId="203" priority="46" stopIfTrue="1" operator="equal">
      <formula>"No"</formula>
    </cfRule>
  </conditionalFormatting>
  <conditionalFormatting sqref="C80">
    <cfRule type="cellIs" dxfId="202" priority="45" stopIfTrue="1" operator="equal">
      <formula>"No"</formula>
    </cfRule>
  </conditionalFormatting>
  <conditionalFormatting sqref="C82">
    <cfRule type="cellIs" dxfId="201" priority="44" stopIfTrue="1" operator="equal">
      <formula>"No"</formula>
    </cfRule>
  </conditionalFormatting>
  <conditionalFormatting sqref="C84">
    <cfRule type="cellIs" dxfId="200" priority="43" stopIfTrue="1" operator="equal">
      <formula>"No"</formula>
    </cfRule>
  </conditionalFormatting>
  <conditionalFormatting sqref="C86">
    <cfRule type="cellIs" dxfId="199" priority="42" stopIfTrue="1" operator="equal">
      <formula>"No"</formula>
    </cfRule>
  </conditionalFormatting>
  <conditionalFormatting sqref="D74">
    <cfRule type="cellIs" dxfId="198" priority="38" stopIfTrue="1" operator="equal">
      <formula>"No"</formula>
    </cfRule>
  </conditionalFormatting>
  <conditionalFormatting sqref="D80">
    <cfRule type="cellIs" dxfId="197" priority="35" stopIfTrue="1" operator="equal">
      <formula>"No"</formula>
    </cfRule>
  </conditionalFormatting>
  <conditionalFormatting sqref="C95">
    <cfRule type="cellIs" dxfId="196" priority="41" stopIfTrue="1" operator="equal">
      <formula>"No"</formula>
    </cfRule>
  </conditionalFormatting>
  <conditionalFormatting sqref="C99">
    <cfRule type="cellIs" dxfId="195" priority="39" stopIfTrue="1" operator="equal">
      <formula>"No"</formula>
    </cfRule>
  </conditionalFormatting>
  <conditionalFormatting sqref="D99">
    <cfRule type="cellIs" dxfId="194" priority="29" stopIfTrue="1" operator="equal">
      <formula>"No"</formula>
    </cfRule>
  </conditionalFormatting>
  <conditionalFormatting sqref="C93">
    <cfRule type="cellIs" dxfId="193" priority="25" stopIfTrue="1" operator="equal">
      <formula>"No"</formula>
    </cfRule>
  </conditionalFormatting>
  <conditionalFormatting sqref="C105 C107 C111">
    <cfRule type="cellIs" dxfId="192" priority="24" stopIfTrue="1" operator="equal">
      <formula>"No"</formula>
    </cfRule>
  </conditionalFormatting>
  <conditionalFormatting sqref="D109">
    <cfRule type="cellIs" dxfId="191" priority="21" stopIfTrue="1" operator="equal">
      <formula>"No"</formula>
    </cfRule>
  </conditionalFormatting>
  <conditionalFormatting sqref="C13:D13">
    <cfRule type="cellIs" dxfId="190" priority="19" stopIfTrue="1" operator="equal">
      <formula>"No"</formula>
    </cfRule>
  </conditionalFormatting>
  <conditionalFormatting sqref="D37">
    <cfRule type="cellIs" dxfId="189" priority="15" stopIfTrue="1" operator="equal">
      <formula>"No"</formula>
    </cfRule>
  </conditionalFormatting>
  <conditionalFormatting sqref="D95">
    <cfRule type="cellIs" dxfId="188" priority="31" stopIfTrue="1" operator="equal">
      <formula>"No"</formula>
    </cfRule>
  </conditionalFormatting>
  <conditionalFormatting sqref="D76">
    <cfRule type="cellIs" dxfId="187" priority="37" stopIfTrue="1" operator="equal">
      <formula>"No"</formula>
    </cfRule>
  </conditionalFormatting>
  <conditionalFormatting sqref="D78">
    <cfRule type="cellIs" dxfId="186" priority="36" stopIfTrue="1" operator="equal">
      <formula>"No"</formula>
    </cfRule>
  </conditionalFormatting>
  <conditionalFormatting sqref="D97">
    <cfRule type="cellIs" dxfId="185" priority="30" stopIfTrue="1" operator="equal">
      <formula>"No"</formula>
    </cfRule>
  </conditionalFormatting>
  <conditionalFormatting sqref="D82">
    <cfRule type="cellIs" dxfId="184" priority="34" stopIfTrue="1" operator="equal">
      <formula>"No"</formula>
    </cfRule>
  </conditionalFormatting>
  <conditionalFormatting sqref="D84">
    <cfRule type="cellIs" dxfId="183" priority="33" stopIfTrue="1" operator="equal">
      <formula>"No"</formula>
    </cfRule>
  </conditionalFormatting>
  <conditionalFormatting sqref="D86">
    <cfRule type="cellIs" dxfId="182" priority="32" stopIfTrue="1" operator="equal">
      <formula>"No"</formula>
    </cfRule>
  </conditionalFormatting>
  <conditionalFormatting sqref="C91">
    <cfRule type="cellIs" dxfId="181" priority="26" stopIfTrue="1" operator="equal">
      <formula>"No"</formula>
    </cfRule>
  </conditionalFormatting>
  <conditionalFormatting sqref="D93">
    <cfRule type="cellIs" dxfId="180" priority="28" stopIfTrue="1" operator="equal">
      <formula>"No"</formula>
    </cfRule>
  </conditionalFormatting>
  <conditionalFormatting sqref="C44 C46">
    <cfRule type="cellIs" dxfId="179" priority="14" stopIfTrue="1" operator="equal">
      <formula>"No"</formula>
    </cfRule>
  </conditionalFormatting>
  <conditionalFormatting sqref="D19">
    <cfRule type="cellIs" dxfId="178" priority="11" stopIfTrue="1" operator="equal">
      <formula>"No"</formula>
    </cfRule>
  </conditionalFormatting>
  <conditionalFormatting sqref="D91">
    <cfRule type="cellIs" dxfId="177" priority="27" stopIfTrue="1" operator="equal">
      <formula>"No"</formula>
    </cfRule>
  </conditionalFormatting>
  <conditionalFormatting sqref="D44 D46">
    <cfRule type="cellIs" dxfId="176" priority="13" stopIfTrue="1" operator="equal">
      <formula>"No"</formula>
    </cfRule>
  </conditionalFormatting>
  <conditionalFormatting sqref="C11:D11">
    <cfRule type="cellIs" dxfId="175" priority="20" stopIfTrue="1" operator="equal">
      <formula>"No"</formula>
    </cfRule>
  </conditionalFormatting>
  <conditionalFormatting sqref="C109">
    <cfRule type="cellIs" dxfId="174" priority="23" stopIfTrue="1" operator="equal">
      <formula>"No"</formula>
    </cfRule>
  </conditionalFormatting>
  <conditionalFormatting sqref="C33 C35 C39">
    <cfRule type="cellIs" dxfId="173" priority="18" stopIfTrue="1" operator="equal">
      <formula>"No"</formula>
    </cfRule>
  </conditionalFormatting>
  <conditionalFormatting sqref="D105 D107 D111">
    <cfRule type="cellIs" dxfId="172" priority="22" stopIfTrue="1" operator="equal">
      <formula>"No"</formula>
    </cfRule>
  </conditionalFormatting>
  <conditionalFormatting sqref="D33 D35 D39">
    <cfRule type="cellIs" dxfId="171" priority="16" stopIfTrue="1" operator="equal">
      <formula>"No"</formula>
    </cfRule>
  </conditionalFormatting>
  <conditionalFormatting sqref="C19">
    <cfRule type="cellIs" dxfId="170" priority="12" stopIfTrue="1" operator="equal">
      <formula>"No"</formula>
    </cfRule>
  </conditionalFormatting>
  <conditionalFormatting sqref="C37">
    <cfRule type="cellIs" dxfId="169" priority="17" stopIfTrue="1" operator="equal">
      <formula>"No"</formula>
    </cfRule>
  </conditionalFormatting>
  <conditionalFormatting sqref="D30">
    <cfRule type="cellIs" dxfId="168" priority="9" stopIfTrue="1" operator="equal">
      <formula>"No"</formula>
    </cfRule>
  </conditionalFormatting>
  <conditionalFormatting sqref="D20">
    <cfRule type="cellIs" dxfId="167" priority="3" stopIfTrue="1" operator="equal">
      <formula>"No"</formula>
    </cfRule>
  </conditionalFormatting>
  <conditionalFormatting sqref="C30">
    <cfRule type="cellIs" dxfId="166" priority="10" stopIfTrue="1" operator="equal">
      <formula>"No"</formula>
    </cfRule>
  </conditionalFormatting>
  <conditionalFormatting sqref="C20">
    <cfRule type="cellIs" dxfId="165" priority="4" stopIfTrue="1" operator="equal">
      <formula>"No"</formula>
    </cfRule>
  </conditionalFormatting>
  <conditionalFormatting sqref="C15">
    <cfRule type="cellIs" dxfId="164" priority="7" operator="equal">
      <formula>"Winner"</formula>
    </cfRule>
    <cfRule type="cellIs" dxfId="163" priority="8" stopIfTrue="1" operator="equal">
      <formula>"No"</formula>
    </cfRule>
  </conditionalFormatting>
  <conditionalFormatting sqref="D15">
    <cfRule type="cellIs" dxfId="162" priority="5" operator="equal">
      <formula>"Winner"</formula>
    </cfRule>
    <cfRule type="cellIs" dxfId="161" priority="6" stopIfTrue="1" operator="equal">
      <formula>"No"</formula>
    </cfRule>
  </conditionalFormatting>
  <conditionalFormatting sqref="D22">
    <cfRule type="cellIs" dxfId="160" priority="1" stopIfTrue="1" operator="equal">
      <formula>"No"</formula>
    </cfRule>
  </conditionalFormatting>
  <conditionalFormatting sqref="C22">
    <cfRule type="cellIs" dxfId="159" priority="2" stopIfTrue="1" operator="equal">
      <formula>"No"</formula>
    </cfRule>
  </conditionalFormatting>
  <dataValidations count="6">
    <dataValidation type="list" showInputMessage="1" showErrorMessage="1" errorTitle="No Force Selected" error="Please select one of the forces from the available forces on the second tab." promptTitle="Second Force" prompt="Select  a Force from the list of available forces (second tab)." sqref="D2" xr:uid="{00000000-0002-0000-0500-000000000000}">
      <formula1>rUnitsNames</formula1>
    </dataValidation>
    <dataValidation type="list" showInputMessage="1" showErrorMessage="1" errorTitle="No Force Selected" error="Please select one of the forces from the available forces on the second tab." promptTitle="First Force" prompt="Select  a Force from the list of available forces (second tab)." sqref="C2" xr:uid="{00000000-0002-0000-0500-000001000000}">
      <formula1>rUnitsNames</formula1>
    </dataValidation>
    <dataValidation type="list" sqref="C74:D74 C60:D60 C69:D69 C52:D52 C54:D54 C56:D56 C58:D58 C65:D65 C67:D67 C76:D76 C78:D78 C80:D80 C82:D82 C84:D84 C91:D91 C99:D99 C95:D95 C97:D97 C86:D86 C93:D93 C105:D105 C107:D107 C109:D109 C111:D111 C11:D11 C44:D44 C13:D13 C35:D35 C37:D37 C39:D39 C33:D33 C46:D46 C19:D19 C30:D30 C15:D15" xr:uid="{00000000-0002-0000-0500-000002000000}">
      <formula1>"Yes,No"</formula1>
    </dataValidation>
    <dataValidation type="list" sqref="C116:D116" xr:uid="{00000000-0002-0000-0500-000003000000}">
      <formula1>"0,1,2,3,4,5"</formula1>
    </dataValidation>
    <dataValidation type="list" allowBlank="1" sqref="C25:D25" xr:uid="{00000000-0002-0000-0500-000004000000}">
      <formula1>tTacticsList</formula1>
    </dataValidation>
    <dataValidation type="list" allowBlank="1" showInputMessage="1" showErrorMessage="1" sqref="C12:D12" xr:uid="{00000000-0002-0000-0500-000005000000}">
      <formula1>"1,2,3,4,5,6,7,8,9,10,11,12,13,14,15,16,17,18,19,20"</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118"/>
  <sheetViews>
    <sheetView showGridLines="0" zoomScaleNormal="100" workbookViewId="0">
      <pane xSplit="2" ySplit="2" topLeftCell="C3" activePane="bottomRight" state="frozen"/>
      <selection pane="topRight" activeCell="C1" sqref="C1"/>
      <selection pane="bottomLeft" activeCell="A3" sqref="A3"/>
      <selection pane="bottomRight" activeCell="F19" sqref="F19"/>
    </sheetView>
  </sheetViews>
  <sheetFormatPr baseColWidth="10" defaultColWidth="9.1640625" defaultRowHeight="13" outlineLevelRow="1" x14ac:dyDescent="0.15"/>
  <cols>
    <col min="1" max="1" width="9.1640625" style="57"/>
    <col min="2" max="2" width="55" style="57" bestFit="1" customWidth="1"/>
    <col min="3" max="4" width="34.6640625" style="57" customWidth="1"/>
    <col min="5" max="5" width="9.1640625" style="57"/>
    <col min="6" max="6" width="22" style="57" customWidth="1"/>
    <col min="7" max="16384" width="9.1640625" style="57"/>
  </cols>
  <sheetData>
    <row r="1" spans="2:4" ht="6" customHeight="1" x14ac:dyDescent="0.15"/>
    <row r="2" spans="2:4" ht="28" x14ac:dyDescent="0.15">
      <c r="C2" s="87" t="s">
        <v>321</v>
      </c>
      <c r="D2" s="88" t="s">
        <v>259</v>
      </c>
    </row>
    <row r="3" spans="2:4" ht="20.25" customHeight="1" x14ac:dyDescent="0.15">
      <c r="B3" s="241" t="s">
        <v>6</v>
      </c>
      <c r="C3" s="86">
        <v>200</v>
      </c>
      <c r="D3" s="86">
        <v>1000</v>
      </c>
    </row>
    <row r="4" spans="2:4" hidden="1" outlineLevel="1" x14ac:dyDescent="0.15">
      <c r="B4" s="232"/>
      <c r="C4" s="233">
        <f>IF(cNumTroops1&gt;cNumTroops2,VLOOKUP(cNumTroops1/cNumTroops2,tRatio,2,TRUE),0)</f>
        <v>0</v>
      </c>
      <c r="D4" s="233">
        <f>IF(cNumTroops2&gt;cNumTroops1,VLOOKUP(cNumTroops2/cNumTroops1,tRatio,2,TRUE),0)</f>
        <v>70</v>
      </c>
    </row>
    <row r="5" spans="2:4" ht="20.25" customHeight="1" collapsed="1" x14ac:dyDescent="0.15">
      <c r="B5" s="241" t="s">
        <v>185</v>
      </c>
      <c r="C5" s="86" t="e">
        <f>HLOOKUP(cForce1,tUnitsStats,27,FALSE)</f>
        <v>#N/A</v>
      </c>
      <c r="D5" s="86">
        <f>HLOOKUP(cForce2,tUnitsStats,27,FALSE)</f>
        <v>27</v>
      </c>
    </row>
    <row r="6" spans="2:4" ht="20.25" customHeight="1" x14ac:dyDescent="0.15">
      <c r="B6" s="241" t="s">
        <v>186</v>
      </c>
      <c r="C6" s="86" t="e">
        <f>HLOOKUP(cForce1,tUnitsStats,28,FALSE)</f>
        <v>#N/A</v>
      </c>
      <c r="D6" s="86" t="str">
        <f>HLOOKUP(cForce2,tUnitsStats,28,FALSE)</f>
        <v>Poor</v>
      </c>
    </row>
    <row r="7" spans="2:4" hidden="1" outlineLevel="1" x14ac:dyDescent="0.15">
      <c r="B7" s="235"/>
      <c r="C7" s="236" t="e">
        <f>IF(C5&gt;0,VLOOKUP(C5,tTroopClass,3,TRUE),"")</f>
        <v>#N/A</v>
      </c>
      <c r="D7" s="236">
        <f>IF(D5&gt;0,VLOOKUP(D5,tTroopClass,3,TRUE),"")</f>
        <v>1</v>
      </c>
    </row>
    <row r="8" spans="2:4" ht="20.25" customHeight="1" collapsed="1" x14ac:dyDescent="0.15">
      <c r="B8" s="241" t="s">
        <v>194</v>
      </c>
      <c r="C8" s="86" t="e">
        <f>HLOOKUP(cForce1,tUnitsStats,39,FALSE)</f>
        <v>#N/A</v>
      </c>
      <c r="D8" s="86">
        <f>HLOOKUP(cForce2,tUnitsStats,39,FALSE)</f>
        <v>27</v>
      </c>
    </row>
    <row r="9" spans="2:4" ht="6" customHeight="1" x14ac:dyDescent="0.15"/>
    <row r="10" spans="2:4" ht="18" customHeight="1" x14ac:dyDescent="0.15">
      <c r="B10" s="281" t="s">
        <v>303</v>
      </c>
      <c r="C10" s="281"/>
      <c r="D10" s="281"/>
    </row>
    <row r="11" spans="2:4" ht="18" customHeight="1" thickBot="1" x14ac:dyDescent="0.2">
      <c r="B11" s="242" t="s">
        <v>304</v>
      </c>
      <c r="C11" s="243" t="e">
        <f ca="1">C8+C4+C28+C41+C48+C62+C71+C88+C102+C113+C117</f>
        <v>#N/A</v>
      </c>
      <c r="D11" s="243" t="e">
        <f ca="1">D8+D4+D28+D41+D48+D62+D71+D88+D102+D113+D117</f>
        <v>#N/A</v>
      </c>
    </row>
    <row r="12" spans="2:4" ht="18" customHeight="1" thickTop="1" thickBot="1" x14ac:dyDescent="0.2">
      <c r="B12" s="85" t="s">
        <v>305</v>
      </c>
      <c r="C12" s="245">
        <v>11</v>
      </c>
      <c r="D12" s="245">
        <v>11</v>
      </c>
    </row>
    <row r="13" spans="2:4" ht="18" customHeight="1" thickTop="1" x14ac:dyDescent="0.15">
      <c r="B13" s="242" t="s">
        <v>306</v>
      </c>
      <c r="C13" s="243" t="e">
        <f ca="1">C11+5*C12</f>
        <v>#N/A</v>
      </c>
      <c r="D13" s="243" t="e">
        <f ca="1">D11+5*D12</f>
        <v>#N/A</v>
      </c>
    </row>
    <row r="14" spans="2:4" hidden="1" outlineLevel="1" x14ac:dyDescent="0.15">
      <c r="B14" s="232" t="s">
        <v>315</v>
      </c>
      <c r="C14" s="233" t="e">
        <f ca="1">ABS(C13-D13)</f>
        <v>#N/A</v>
      </c>
      <c r="D14" s="233" t="e">
        <f ca="1">C13&gt;D13</f>
        <v>#N/A</v>
      </c>
    </row>
    <row r="15" spans="2:4" ht="18" customHeight="1" collapsed="1" x14ac:dyDescent="0.15">
      <c r="B15" s="242" t="s">
        <v>317</v>
      </c>
      <c r="C15" s="247" t="e">
        <f ca="1">IF(D14,"Winner","Loser")</f>
        <v>#N/A</v>
      </c>
      <c r="D15" s="247" t="e">
        <f ca="1">IF(D14,"Loser","Winner")</f>
        <v>#N/A</v>
      </c>
    </row>
    <row r="16" spans="2:4" hidden="1" outlineLevel="1" x14ac:dyDescent="0.15">
      <c r="B16" s="232" t="s">
        <v>314</v>
      </c>
      <c r="C16" s="244" t="e">
        <f ca="1">MAX(0,MIN(100,(VLOOKUP(C14,tCombatResults,2+IF(D14,0,1))+C27)*IF(AND(NOT(D14),D30="Yes"),0.5,1)))/100</f>
        <v>#N/A</v>
      </c>
      <c r="D16" s="244" t="e">
        <f ca="1">MAX(0,MIN(100,(VLOOKUP(C14,tCombatResults,2+IF(D14,1,0))+D27)*IF(AND(D14,C30="Yes"),0.5,1)))/100</f>
        <v>#N/A</v>
      </c>
    </row>
    <row r="17" spans="2:4" hidden="1" outlineLevel="1" x14ac:dyDescent="0.15">
      <c r="B17" s="232" t="s">
        <v>112</v>
      </c>
      <c r="C17" s="240" t="e">
        <f ca="1">ROUND((cNumTroops1*C16/2)*IF(OR(D30="Yes",LEFT(C21,1)="F"),1,0),0)</f>
        <v>#N/A</v>
      </c>
      <c r="D17" s="240" t="e">
        <f ca="1">ROUND((cNumTroops2*D16/2)*IF(OR(C30="Yes",LEFT(D21,1)="F"),1,0),0)</f>
        <v>#N/A</v>
      </c>
    </row>
    <row r="18" spans="2:4" hidden="1" outlineLevel="1" x14ac:dyDescent="0.15">
      <c r="B18" s="232" t="s">
        <v>319</v>
      </c>
      <c r="C18" s="240" t="e">
        <f ca="1">ROUND((cNumTroops1*C16/2)*IF(OR(D30="Yes",LEFT(C21,1)="F"),1,2),0)</f>
        <v>#N/A</v>
      </c>
      <c r="D18" s="240" t="e">
        <f ca="1">ROUND((cNumTroops2*D16/2)*IF(OR(C30="Yes",LEFT(D21,1)="F"),1,2),0)</f>
        <v>#N/A</v>
      </c>
    </row>
    <row r="19" spans="2:4" ht="18" customHeight="1" collapsed="1" x14ac:dyDescent="0.15">
      <c r="B19" s="242" t="s">
        <v>43</v>
      </c>
      <c r="C19" s="243" t="e">
        <f ca="1">C18&amp;" killed"&amp;IF(C17&gt;0,", "&amp;C17&amp;" wounded","")&amp;", "&amp;cNumTroops1-C17-C18&amp;" remaining"</f>
        <v>#N/A</v>
      </c>
      <c r="D19" s="243" t="e">
        <f ca="1">D18&amp;" killed"&amp;IF(D17&gt;0,", "&amp;D17&amp;" wounded","")&amp;", "&amp;cNumTroops2-D17-D18&amp;" remaining"</f>
        <v>#N/A</v>
      </c>
    </row>
    <row r="20" spans="2:4" ht="18" customHeight="1" x14ac:dyDescent="0.15">
      <c r="B20" s="242" t="s">
        <v>320</v>
      </c>
      <c r="C20" s="249" t="e">
        <f ca="1">VLOOKUP(C14,tCombatResults,4+IF(D14,0,1))</f>
        <v>#N/A</v>
      </c>
      <c r="D20" s="249" t="e">
        <f ca="1">VLOOKUP(C14,tCombatResults,4+IF(D14,1,0))</f>
        <v>#N/A</v>
      </c>
    </row>
    <row r="21" spans="2:4" hidden="1" outlineLevel="1" x14ac:dyDescent="0.15">
      <c r="B21" s="232" t="s">
        <v>95</v>
      </c>
      <c r="C21" s="240" t="e">
        <f ca="1">VLOOKUP(C14,tCombatResults,6+IF(D14,0,1),TRUE)</f>
        <v>#N/A</v>
      </c>
      <c r="D21" s="240" t="e">
        <f ca="1">VLOOKUP(C14,tCombatResults,6+IF(D14,1,0),TRUE)</f>
        <v>#N/A</v>
      </c>
    </row>
    <row r="22" spans="2:4" collapsed="1" x14ac:dyDescent="0.15">
      <c r="B22" s="242" t="s">
        <v>95</v>
      </c>
      <c r="C22" s="248" t="e">
        <f ca="1">VLOOKUP(C21,tLocationResults,2,FALSE)</f>
        <v>#N/A</v>
      </c>
      <c r="D22" s="248" t="e">
        <f ca="1">VLOOKUP(D21,tLocationResults,2,FALSE)</f>
        <v>#N/A</v>
      </c>
    </row>
    <row r="23" spans="2:4" ht="6" customHeight="1" x14ac:dyDescent="0.15"/>
    <row r="24" spans="2:4" ht="18" customHeight="1" thickBot="1" x14ac:dyDescent="0.2">
      <c r="B24" s="280" t="s">
        <v>128</v>
      </c>
      <c r="C24" s="280"/>
      <c r="D24" s="280"/>
    </row>
    <row r="25" spans="2:4" ht="18" customHeight="1" thickTop="1" thickBot="1" x14ac:dyDescent="0.2">
      <c r="B25" s="85" t="s">
        <v>297</v>
      </c>
      <c r="C25" s="245" t="s">
        <v>126</v>
      </c>
      <c r="D25" s="245" t="s">
        <v>126</v>
      </c>
    </row>
    <row r="26" spans="2:4" ht="15" hidden="1" outlineLevel="1" thickTop="1" thickBot="1" x14ac:dyDescent="0.2">
      <c r="B26" s="234" t="s">
        <v>298</v>
      </c>
      <c r="C26" s="240">
        <f>MATCH(C25,tTacticsList,0)</f>
        <v>2</v>
      </c>
      <c r="D26" s="240">
        <f>MATCH(D25,tTacticsList,0)</f>
        <v>2</v>
      </c>
    </row>
    <row r="27" spans="2:4" ht="15" hidden="1" outlineLevel="1" thickTop="1" thickBot="1" x14ac:dyDescent="0.2">
      <c r="B27" s="237" t="s">
        <v>299</v>
      </c>
      <c r="C27" s="238">
        <f ca="1">OFFSET(tTacticsCasualties,'77th Cavalry'!D26,'77th Cavalry'!C26)</f>
        <v>10</v>
      </c>
      <c r="D27" s="238">
        <f ca="1">OFFSET(tTacticsCasualties,'77th Cavalry'!C26,'77th Cavalry'!D26)</f>
        <v>10</v>
      </c>
    </row>
    <row r="28" spans="2:4" ht="15" hidden="1" outlineLevel="1" thickTop="1" thickBot="1" x14ac:dyDescent="0.2">
      <c r="B28" s="237" t="s">
        <v>80</v>
      </c>
      <c r="C28" s="238">
        <f ca="1">OFFSET(tTacticsBonus,'77th Cavalry'!D26,'77th Cavalry'!C26)</f>
        <v>0</v>
      </c>
      <c r="D28" s="238">
        <f ca="1">OFFSET(tTacticsBonus,'77th Cavalry'!C26,'77th Cavalry'!D26)</f>
        <v>0</v>
      </c>
    </row>
    <row r="29" spans="2:4" ht="15" hidden="1" outlineLevel="1" thickTop="1" thickBot="1" x14ac:dyDescent="0.2">
      <c r="B29" s="237" t="s">
        <v>301</v>
      </c>
      <c r="C29" s="238">
        <f ca="1">OFFSET(tTacticsEffects,'77th Cavalry'!D26,'77th Cavalry'!C26)</f>
        <v>0</v>
      </c>
      <c r="D29" s="238">
        <f ca="1">OFFSET(tTacticsEffects,'77th Cavalry'!C26,'77th Cavalry'!D26)</f>
        <v>0</v>
      </c>
    </row>
    <row r="30" spans="2:4" ht="18" customHeight="1" collapsed="1" thickTop="1" thickBot="1" x14ac:dyDescent="0.2">
      <c r="B30" s="85" t="s">
        <v>316</v>
      </c>
      <c r="C30" s="246" t="s">
        <v>200</v>
      </c>
      <c r="D30" s="246" t="s">
        <v>200</v>
      </c>
    </row>
    <row r="31" spans="2:4" ht="6" customHeight="1" thickTop="1" x14ac:dyDescent="0.15"/>
    <row r="32" spans="2:4" ht="18" customHeight="1" x14ac:dyDescent="0.15">
      <c r="B32" s="280" t="s">
        <v>307</v>
      </c>
      <c r="C32" s="280"/>
      <c r="D32" s="280"/>
    </row>
    <row r="33" spans="2:4" ht="18" customHeight="1" x14ac:dyDescent="0.15">
      <c r="B33" s="85" t="s">
        <v>311</v>
      </c>
      <c r="C33" s="93" t="s">
        <v>200</v>
      </c>
      <c r="D33" s="93" t="s">
        <v>200</v>
      </c>
    </row>
    <row r="34" spans="2:4" hidden="1" outlineLevel="1" x14ac:dyDescent="0.15">
      <c r="B34" s="232"/>
      <c r="C34" s="233">
        <f>IF(C33="Yes",50,0)</f>
        <v>0</v>
      </c>
      <c r="D34" s="233">
        <f>IF(D33="Yes",50,0)</f>
        <v>0</v>
      </c>
    </row>
    <row r="35" spans="2:4" ht="18" customHeight="1" collapsed="1" x14ac:dyDescent="0.15">
      <c r="B35" s="85" t="s">
        <v>312</v>
      </c>
      <c r="C35" s="93" t="s">
        <v>200</v>
      </c>
      <c r="D35" s="93" t="s">
        <v>200</v>
      </c>
    </row>
    <row r="36" spans="2:4" hidden="1" outlineLevel="1" x14ac:dyDescent="0.15">
      <c r="B36" s="232"/>
      <c r="C36" s="233">
        <f>IF(C35="Yes",20,0)</f>
        <v>0</v>
      </c>
      <c r="D36" s="233">
        <f>IF(D35="Yes",20,0)</f>
        <v>0</v>
      </c>
    </row>
    <row r="37" spans="2:4" ht="18" customHeight="1" collapsed="1" x14ac:dyDescent="0.15">
      <c r="B37" s="85" t="s">
        <v>313</v>
      </c>
      <c r="C37" s="93" t="s">
        <v>200</v>
      </c>
      <c r="D37" s="93" t="s">
        <v>200</v>
      </c>
    </row>
    <row r="38" spans="2:4" hidden="1" outlineLevel="1" x14ac:dyDescent="0.15">
      <c r="B38" s="232"/>
      <c r="C38" s="233">
        <f>IF(C37="Yes",10,0)</f>
        <v>0</v>
      </c>
      <c r="D38" s="233">
        <f>IF(D37="Yes",10,0)</f>
        <v>0</v>
      </c>
    </row>
    <row r="39" spans="2:4" ht="18" customHeight="1" collapsed="1" x14ac:dyDescent="0.15">
      <c r="B39" s="85" t="s">
        <v>308</v>
      </c>
      <c r="C39" s="93" t="s">
        <v>200</v>
      </c>
      <c r="D39" s="93" t="s">
        <v>200</v>
      </c>
    </row>
    <row r="40" spans="2:4" hidden="1" outlineLevel="1" x14ac:dyDescent="0.15">
      <c r="B40" s="232"/>
      <c r="C40" s="233">
        <f>IF(C39="Yes",-25,0)</f>
        <v>0</v>
      </c>
      <c r="D40" s="233">
        <f>IF(D39="Yes",-25,0)</f>
        <v>0</v>
      </c>
    </row>
    <row r="41" spans="2:4" hidden="1" outlineLevel="1" x14ac:dyDescent="0.15">
      <c r="B41" s="237"/>
      <c r="C41" s="238">
        <f>C34+C36+C38+C40</f>
        <v>0</v>
      </c>
      <c r="D41" s="238">
        <f>D34+D36+D38+D40</f>
        <v>0</v>
      </c>
    </row>
    <row r="42" spans="2:4" ht="6" customHeight="1" collapsed="1" x14ac:dyDescent="0.15"/>
    <row r="43" spans="2:4" ht="18" customHeight="1" x14ac:dyDescent="0.15">
      <c r="B43" s="280" t="s">
        <v>61</v>
      </c>
      <c r="C43" s="280"/>
      <c r="D43" s="280"/>
    </row>
    <row r="44" spans="2:4" ht="18" customHeight="1" x14ac:dyDescent="0.15">
      <c r="B44" s="85" t="s">
        <v>309</v>
      </c>
      <c r="C44" s="93" t="s">
        <v>200</v>
      </c>
      <c r="D44" s="93" t="s">
        <v>200</v>
      </c>
    </row>
    <row r="45" spans="2:4" hidden="1" outlineLevel="1" x14ac:dyDescent="0.15">
      <c r="B45" s="232"/>
      <c r="C45" s="233">
        <f>IF(C44="Yes",40,0)</f>
        <v>0</v>
      </c>
      <c r="D45" s="233">
        <f>IF(D44="Yes",40,0)</f>
        <v>0</v>
      </c>
    </row>
    <row r="46" spans="2:4" ht="18" customHeight="1" collapsed="1" x14ac:dyDescent="0.15">
      <c r="B46" s="85" t="s">
        <v>310</v>
      </c>
      <c r="C46" s="93" t="s">
        <v>200</v>
      </c>
      <c r="D46" s="93" t="s">
        <v>200</v>
      </c>
    </row>
    <row r="47" spans="2:4" hidden="1" outlineLevel="1" x14ac:dyDescent="0.15">
      <c r="B47" s="232"/>
      <c r="C47" s="233">
        <f>IF(C46="Yes",20,0)</f>
        <v>0</v>
      </c>
      <c r="D47" s="233">
        <f>IF(D46="Yes",20,0)</f>
        <v>0</v>
      </c>
    </row>
    <row r="48" spans="2:4" hidden="1" outlineLevel="1" x14ac:dyDescent="0.15">
      <c r="B48" s="237"/>
      <c r="C48" s="238">
        <f>C45+C47</f>
        <v>0</v>
      </c>
      <c r="D48" s="238">
        <f>D45+D47</f>
        <v>0</v>
      </c>
    </row>
    <row r="49" spans="2:4" ht="6" customHeight="1" collapsed="1" x14ac:dyDescent="0.15"/>
    <row r="50" spans="2:4" ht="18" customHeight="1" x14ac:dyDescent="0.15">
      <c r="B50" s="280" t="s">
        <v>58</v>
      </c>
      <c r="C50" s="280"/>
      <c r="D50" s="280"/>
    </row>
    <row r="51" spans="2:4" hidden="1" outlineLevel="1" x14ac:dyDescent="0.15">
      <c r="B51" s="234" t="s">
        <v>290</v>
      </c>
      <c r="C51" s="233" t="e">
        <f>IF(C7&gt;D7,(C7-D7)*5,0)</f>
        <v>#N/A</v>
      </c>
      <c r="D51" s="233" t="e">
        <f>IF(D7&gt;C7,(D7-C7)*5,0)</f>
        <v>#N/A</v>
      </c>
    </row>
    <row r="52" spans="2:4" ht="18" customHeight="1" collapsed="1" x14ac:dyDescent="0.15">
      <c r="B52" s="85" t="s">
        <v>196</v>
      </c>
      <c r="C52" s="93" t="s">
        <v>200</v>
      </c>
      <c r="D52" s="93" t="s">
        <v>200</v>
      </c>
    </row>
    <row r="53" spans="2:4" hidden="1" outlineLevel="1" x14ac:dyDescent="0.15">
      <c r="B53" s="232"/>
      <c r="C53" s="233">
        <f>IF(C52="Yes",10,0)</f>
        <v>0</v>
      </c>
      <c r="D53" s="233">
        <f>IF(D52="Yes",10,0)</f>
        <v>0</v>
      </c>
    </row>
    <row r="54" spans="2:4" ht="18" customHeight="1" collapsed="1" x14ac:dyDescent="0.15">
      <c r="B54" s="85" t="s">
        <v>201</v>
      </c>
      <c r="C54" s="93" t="s">
        <v>200</v>
      </c>
      <c r="D54" s="93" t="s">
        <v>200</v>
      </c>
    </row>
    <row r="55" spans="2:4" hidden="1" outlineLevel="1" x14ac:dyDescent="0.15">
      <c r="B55" s="232"/>
      <c r="C55" s="233">
        <f>IF(C54="Yes",10,0)</f>
        <v>0</v>
      </c>
      <c r="D55" s="233">
        <f>IF(D54="Yes",10,0)</f>
        <v>0</v>
      </c>
    </row>
    <row r="56" spans="2:4" ht="18" customHeight="1" collapsed="1" x14ac:dyDescent="0.15">
      <c r="B56" s="85" t="s">
        <v>202</v>
      </c>
      <c r="C56" s="93" t="s">
        <v>200</v>
      </c>
      <c r="D56" s="93" t="s">
        <v>200</v>
      </c>
    </row>
    <row r="57" spans="2:4" hidden="1" outlineLevel="1" x14ac:dyDescent="0.15">
      <c r="B57" s="232"/>
      <c r="C57" s="233">
        <f>IF(C56="Yes",-20,0)</f>
        <v>0</v>
      </c>
      <c r="D57" s="233">
        <f>IF(D56="Yes",-20,0)</f>
        <v>0</v>
      </c>
    </row>
    <row r="58" spans="2:4" ht="18" customHeight="1" collapsed="1" x14ac:dyDescent="0.15">
      <c r="B58" s="85" t="s">
        <v>197</v>
      </c>
      <c r="C58" s="93" t="s">
        <v>200</v>
      </c>
      <c r="D58" s="93" t="s">
        <v>200</v>
      </c>
    </row>
    <row r="59" spans="2:4" hidden="1" outlineLevel="1" x14ac:dyDescent="0.15">
      <c r="B59" s="232"/>
      <c r="C59" s="233">
        <f>IF(C58="Yes",30,0)</f>
        <v>0</v>
      </c>
      <c r="D59" s="233">
        <f>IF(D58="Yes",30,0)</f>
        <v>0</v>
      </c>
    </row>
    <row r="60" spans="2:4" ht="18" customHeight="1" collapsed="1" x14ac:dyDescent="0.15">
      <c r="B60" s="85" t="s">
        <v>198</v>
      </c>
      <c r="C60" s="93" t="s">
        <v>200</v>
      </c>
      <c r="D60" s="93" t="s">
        <v>200</v>
      </c>
    </row>
    <row r="61" spans="2:4" hidden="1" outlineLevel="1" x14ac:dyDescent="0.15">
      <c r="B61" s="232"/>
      <c r="C61" s="233">
        <f>IF(C60="Yes",-10,0)</f>
        <v>0</v>
      </c>
      <c r="D61" s="233">
        <f>IF(D60="Yes",-10,0)</f>
        <v>0</v>
      </c>
    </row>
    <row r="62" spans="2:4" hidden="1" outlineLevel="1" x14ac:dyDescent="0.15">
      <c r="B62" s="237"/>
      <c r="C62" s="238" t="e">
        <f>C51+C53+C55+C57+C59+C61</f>
        <v>#N/A</v>
      </c>
      <c r="D62" s="238" t="e">
        <f>D51+D53+D55+D57+D59+D61</f>
        <v>#N/A</v>
      </c>
    </row>
    <row r="63" spans="2:4" ht="6" customHeight="1" collapsed="1" x14ac:dyDescent="0.15"/>
    <row r="64" spans="2:4" ht="18" customHeight="1" x14ac:dyDescent="0.15">
      <c r="B64" s="280" t="s">
        <v>61</v>
      </c>
      <c r="C64" s="280"/>
      <c r="D64" s="280"/>
    </row>
    <row r="65" spans="2:4" ht="18" customHeight="1" x14ac:dyDescent="0.15">
      <c r="B65" s="85" t="s">
        <v>204</v>
      </c>
      <c r="C65" s="93" t="s">
        <v>200</v>
      </c>
      <c r="D65" s="93" t="s">
        <v>200</v>
      </c>
    </row>
    <row r="66" spans="2:4" hidden="1" outlineLevel="1" x14ac:dyDescent="0.15">
      <c r="B66" s="232"/>
      <c r="C66" s="233">
        <f>IF(C65="Yes",25,0)</f>
        <v>0</v>
      </c>
      <c r="D66" s="233">
        <f>IF(D65="Yes",25,0)</f>
        <v>0</v>
      </c>
    </row>
    <row r="67" spans="2:4" ht="18" customHeight="1" collapsed="1" x14ac:dyDescent="0.15">
      <c r="B67" s="85" t="s">
        <v>205</v>
      </c>
      <c r="C67" s="93" t="s">
        <v>200</v>
      </c>
      <c r="D67" s="93" t="s">
        <v>200</v>
      </c>
    </row>
    <row r="68" spans="2:4" hidden="1" outlineLevel="1" x14ac:dyDescent="0.15">
      <c r="B68" s="232"/>
      <c r="C68" s="233">
        <f>IF(C67="Yes",-25,0)</f>
        <v>0</v>
      </c>
      <c r="D68" s="233">
        <f>IF(D67="Yes",-25,0)</f>
        <v>0</v>
      </c>
    </row>
    <row r="69" spans="2:4" ht="18" customHeight="1" collapsed="1" x14ac:dyDescent="0.15">
      <c r="B69" s="85" t="s">
        <v>224</v>
      </c>
      <c r="C69" s="93" t="s">
        <v>200</v>
      </c>
      <c r="D69" s="93" t="s">
        <v>200</v>
      </c>
    </row>
    <row r="70" spans="2:4" hidden="1" outlineLevel="1" x14ac:dyDescent="0.15">
      <c r="B70" s="232"/>
      <c r="C70" s="233">
        <f>IF(C69="Yes",20,0)</f>
        <v>0</v>
      </c>
      <c r="D70" s="233">
        <f>IF(D69="Yes",20,0)</f>
        <v>0</v>
      </c>
    </row>
    <row r="71" spans="2:4" hidden="1" outlineLevel="1" x14ac:dyDescent="0.15">
      <c r="B71" s="237"/>
      <c r="C71" s="238">
        <f>C66+C68+C70</f>
        <v>0</v>
      </c>
      <c r="D71" s="238">
        <f>D66+D68+D70</f>
        <v>0</v>
      </c>
    </row>
    <row r="72" spans="2:4" ht="6" customHeight="1" collapsed="1" x14ac:dyDescent="0.15"/>
    <row r="73" spans="2:4" ht="18" customHeight="1" x14ac:dyDescent="0.15">
      <c r="B73" s="280" t="s">
        <v>74</v>
      </c>
      <c r="C73" s="280"/>
      <c r="D73" s="280"/>
    </row>
    <row r="74" spans="2:4" ht="18" customHeight="1" x14ac:dyDescent="0.15">
      <c r="B74" s="85" t="s">
        <v>206</v>
      </c>
      <c r="C74" s="93" t="s">
        <v>200</v>
      </c>
      <c r="D74" s="93" t="s">
        <v>200</v>
      </c>
    </row>
    <row r="75" spans="2:4" hidden="1" outlineLevel="1" x14ac:dyDescent="0.15">
      <c r="B75" s="232"/>
      <c r="C75" s="233">
        <f>IF(C74="Yes",20,0)</f>
        <v>0</v>
      </c>
      <c r="D75" s="233">
        <f>IF(D74="Yes",20,0)</f>
        <v>0</v>
      </c>
    </row>
    <row r="76" spans="2:4" ht="18" customHeight="1" collapsed="1" x14ac:dyDescent="0.15">
      <c r="B76" s="85" t="s">
        <v>207</v>
      </c>
      <c r="C76" s="93" t="s">
        <v>200</v>
      </c>
      <c r="D76" s="93" t="s">
        <v>200</v>
      </c>
    </row>
    <row r="77" spans="2:4" hidden="1" outlineLevel="1" x14ac:dyDescent="0.15">
      <c r="B77" s="232"/>
      <c r="C77" s="233">
        <f>IF(C76="Yes",20,0)</f>
        <v>0</v>
      </c>
      <c r="D77" s="233">
        <f>IF(D76="Yes",20,0)</f>
        <v>0</v>
      </c>
    </row>
    <row r="78" spans="2:4" ht="18" customHeight="1" collapsed="1" x14ac:dyDescent="0.15">
      <c r="B78" s="85" t="s">
        <v>208</v>
      </c>
      <c r="C78" s="93" t="s">
        <v>200</v>
      </c>
      <c r="D78" s="93" t="s">
        <v>200</v>
      </c>
    </row>
    <row r="79" spans="2:4" hidden="1" outlineLevel="1" x14ac:dyDescent="0.15">
      <c r="B79" s="232"/>
      <c r="C79" s="233">
        <f>IF(C78="Yes",10,0)</f>
        <v>0</v>
      </c>
      <c r="D79" s="233">
        <f>IF(D78="Yes",10,0)</f>
        <v>0</v>
      </c>
    </row>
    <row r="80" spans="2:4" ht="18" customHeight="1" collapsed="1" x14ac:dyDescent="0.15">
      <c r="B80" s="85" t="s">
        <v>209</v>
      </c>
      <c r="C80" s="93" t="s">
        <v>200</v>
      </c>
      <c r="D80" s="93" t="s">
        <v>200</v>
      </c>
    </row>
    <row r="81" spans="2:4" hidden="1" outlineLevel="1" x14ac:dyDescent="0.15">
      <c r="B81" s="232"/>
      <c r="C81" s="233">
        <f>IF(C80="Yes",20,0)</f>
        <v>0</v>
      </c>
      <c r="D81" s="233">
        <f>IF(D80="Yes",20,0)</f>
        <v>0</v>
      </c>
    </row>
    <row r="82" spans="2:4" ht="18" customHeight="1" collapsed="1" x14ac:dyDescent="0.15">
      <c r="B82" s="85" t="s">
        <v>210</v>
      </c>
      <c r="C82" s="93" t="s">
        <v>200</v>
      </c>
      <c r="D82" s="93" t="s">
        <v>200</v>
      </c>
    </row>
    <row r="83" spans="2:4" hidden="1" outlineLevel="1" x14ac:dyDescent="0.15">
      <c r="B83" s="232"/>
      <c r="C83" s="233">
        <f>IF(C82="Yes",-20,0)</f>
        <v>0</v>
      </c>
      <c r="D83" s="233">
        <f>IF(D82="Yes",-20,0)</f>
        <v>0</v>
      </c>
    </row>
    <row r="84" spans="2:4" ht="18" customHeight="1" collapsed="1" x14ac:dyDescent="0.15">
      <c r="B84" s="85" t="s">
        <v>211</v>
      </c>
      <c r="C84" s="93" t="s">
        <v>200</v>
      </c>
      <c r="D84" s="93" t="s">
        <v>200</v>
      </c>
    </row>
    <row r="85" spans="2:4" hidden="1" outlineLevel="1" x14ac:dyDescent="0.15">
      <c r="B85" s="232"/>
      <c r="C85" s="233">
        <f>IF(C84="Yes",-20,0)</f>
        <v>0</v>
      </c>
      <c r="D85" s="233">
        <f>IF(D84="Yes",-20,0)</f>
        <v>0</v>
      </c>
    </row>
    <row r="86" spans="2:4" ht="18" customHeight="1" collapsed="1" x14ac:dyDescent="0.15">
      <c r="B86" s="85" t="s">
        <v>212</v>
      </c>
      <c r="C86" s="93" t="s">
        <v>200</v>
      </c>
      <c r="D86" s="93" t="s">
        <v>200</v>
      </c>
    </row>
    <row r="87" spans="2:4" hidden="1" outlineLevel="1" x14ac:dyDescent="0.15">
      <c r="B87" s="232"/>
      <c r="C87" s="233">
        <f>IF(C86="Yes",-10,0)</f>
        <v>0</v>
      </c>
      <c r="D87" s="233">
        <f>IF(D86="Yes",-10,0)</f>
        <v>0</v>
      </c>
    </row>
    <row r="88" spans="2:4" hidden="1" outlineLevel="1" x14ac:dyDescent="0.15">
      <c r="B88" s="237"/>
      <c r="C88" s="238">
        <f>C75+C77+C79+C81+C83+C85+C87</f>
        <v>0</v>
      </c>
      <c r="D88" s="238">
        <f>D75+D77+D79+D81+D83+D85+D87</f>
        <v>0</v>
      </c>
    </row>
    <row r="89" spans="2:4" ht="6" customHeight="1" collapsed="1" x14ac:dyDescent="0.15"/>
    <row r="90" spans="2:4" ht="18" customHeight="1" x14ac:dyDescent="0.15">
      <c r="B90" s="280" t="s">
        <v>213</v>
      </c>
      <c r="C90" s="280"/>
      <c r="D90" s="280"/>
    </row>
    <row r="91" spans="2:4" ht="18" customHeight="1" x14ac:dyDescent="0.15">
      <c r="B91" s="85" t="s">
        <v>214</v>
      </c>
      <c r="C91" s="93" t="s">
        <v>200</v>
      </c>
      <c r="D91" s="93" t="s">
        <v>200</v>
      </c>
    </row>
    <row r="92" spans="2:4" hidden="1" outlineLevel="1" x14ac:dyDescent="0.15">
      <c r="B92" s="232"/>
      <c r="C92" s="233">
        <f>IF(C91="Yes",10,0)</f>
        <v>0</v>
      </c>
      <c r="D92" s="233">
        <f>IF(D91="Yes",10,0)</f>
        <v>0</v>
      </c>
    </row>
    <row r="93" spans="2:4" ht="18" customHeight="1" collapsed="1" x14ac:dyDescent="0.15">
      <c r="B93" s="85" t="s">
        <v>215</v>
      </c>
      <c r="C93" s="93" t="s">
        <v>200</v>
      </c>
      <c r="D93" s="93" t="s">
        <v>200</v>
      </c>
    </row>
    <row r="94" spans="2:4" hidden="1" outlineLevel="1" x14ac:dyDescent="0.15">
      <c r="B94" s="232"/>
      <c r="C94" s="233">
        <f>IF(C93="Yes",50,0)</f>
        <v>0</v>
      </c>
      <c r="D94" s="233">
        <f>IF(D93="Yes",50,0)</f>
        <v>0</v>
      </c>
    </row>
    <row r="95" spans="2:4" ht="18" customHeight="1" collapsed="1" x14ac:dyDescent="0.15">
      <c r="B95" s="85" t="s">
        <v>216</v>
      </c>
      <c r="C95" s="93" t="s">
        <v>200</v>
      </c>
      <c r="D95" s="93" t="s">
        <v>200</v>
      </c>
    </row>
    <row r="96" spans="2:4" hidden="1" outlineLevel="1" x14ac:dyDescent="0.15">
      <c r="B96" s="232"/>
      <c r="C96" s="233">
        <f>IF(C95="Yes",40,0)</f>
        <v>0</v>
      </c>
      <c r="D96" s="233">
        <f>IF(D95="Yes",40,0)</f>
        <v>0</v>
      </c>
    </row>
    <row r="97" spans="2:4" ht="18" customHeight="1" collapsed="1" x14ac:dyDescent="0.15">
      <c r="B97" s="85" t="s">
        <v>217</v>
      </c>
      <c r="C97" s="93" t="s">
        <v>200</v>
      </c>
      <c r="D97" s="93" t="s">
        <v>200</v>
      </c>
    </row>
    <row r="98" spans="2:4" hidden="1" outlineLevel="1" x14ac:dyDescent="0.15">
      <c r="B98" s="232"/>
      <c r="C98" s="233">
        <f>IF(C97="Yes",20,0)</f>
        <v>0</v>
      </c>
      <c r="D98" s="233">
        <f>IF(D97="Yes",20,0)</f>
        <v>0</v>
      </c>
    </row>
    <row r="99" spans="2:4" ht="18" customHeight="1" collapsed="1" x14ac:dyDescent="0.15">
      <c r="B99" s="85" t="s">
        <v>225</v>
      </c>
      <c r="C99" s="93" t="s">
        <v>200</v>
      </c>
      <c r="D99" s="93" t="s">
        <v>200</v>
      </c>
    </row>
    <row r="100" spans="2:4" hidden="1" outlineLevel="1" x14ac:dyDescent="0.15">
      <c r="B100" s="232"/>
      <c r="C100" s="233">
        <f>IF(C99="Yes",50,0)</f>
        <v>0</v>
      </c>
      <c r="D100" s="233">
        <f>IF(D99="Yes",50,0)</f>
        <v>0</v>
      </c>
    </row>
    <row r="101" spans="2:4" hidden="1" outlineLevel="1" x14ac:dyDescent="0.15">
      <c r="B101" s="235"/>
      <c r="C101" s="236" t="e">
        <f>HLOOKUP(cForce1,tUnitsStats,36,FALSE)*100</f>
        <v>#N/A</v>
      </c>
      <c r="D101" s="236">
        <f>HLOOKUP(cForce2,tUnitsStats,36,FALSE)*100</f>
        <v>0</v>
      </c>
    </row>
    <row r="102" spans="2:4" hidden="1" outlineLevel="1" x14ac:dyDescent="0.15">
      <c r="B102" s="237"/>
      <c r="C102" s="238">
        <f>(C92+C94+C96+C98+C100)*IF(D101&gt;99,0,IF(D101&gt;4,0.5,1))</f>
        <v>0</v>
      </c>
      <c r="D102" s="238" t="e">
        <f>(D92+D94+D96+D98+D100)*IF(C101&gt;99,0,IF(C101&gt;4,0.5,1))</f>
        <v>#N/A</v>
      </c>
    </row>
    <row r="103" spans="2:4" ht="6" customHeight="1" collapsed="1" x14ac:dyDescent="0.15"/>
    <row r="104" spans="2:4" ht="18" customHeight="1" x14ac:dyDescent="0.15">
      <c r="B104" s="280" t="s">
        <v>295</v>
      </c>
      <c r="C104" s="280"/>
      <c r="D104" s="280"/>
    </row>
    <row r="105" spans="2:4" ht="18" customHeight="1" x14ac:dyDescent="0.15">
      <c r="B105" s="85" t="s">
        <v>291</v>
      </c>
      <c r="C105" s="93" t="s">
        <v>200</v>
      </c>
      <c r="D105" s="93" t="s">
        <v>200</v>
      </c>
    </row>
    <row r="106" spans="2:4" hidden="1" outlineLevel="1" x14ac:dyDescent="0.15">
      <c r="B106" s="232"/>
      <c r="C106" s="233">
        <f>IF(C105="Yes",150,0)</f>
        <v>0</v>
      </c>
      <c r="D106" s="233">
        <f>IF(D105="Yes",150,0)</f>
        <v>0</v>
      </c>
    </row>
    <row r="107" spans="2:4" ht="18" customHeight="1" collapsed="1" x14ac:dyDescent="0.15">
      <c r="B107" s="85" t="s">
        <v>292</v>
      </c>
      <c r="C107" s="93" t="s">
        <v>200</v>
      </c>
      <c r="D107" s="93" t="s">
        <v>200</v>
      </c>
    </row>
    <row r="108" spans="2:4" hidden="1" outlineLevel="1" x14ac:dyDescent="0.15">
      <c r="B108" s="232"/>
      <c r="C108" s="233">
        <f>IF(C107="Yes",50,0)</f>
        <v>0</v>
      </c>
      <c r="D108" s="233">
        <f>IF(D107="Yes",50,0)</f>
        <v>0</v>
      </c>
    </row>
    <row r="109" spans="2:4" ht="18" customHeight="1" collapsed="1" x14ac:dyDescent="0.15">
      <c r="B109" s="85" t="s">
        <v>293</v>
      </c>
      <c r="C109" s="93" t="s">
        <v>200</v>
      </c>
      <c r="D109" s="93" t="s">
        <v>200</v>
      </c>
    </row>
    <row r="110" spans="2:4" hidden="1" outlineLevel="1" x14ac:dyDescent="0.15">
      <c r="B110" s="232"/>
      <c r="C110" s="233">
        <f>IF(C109="Yes",50,0)</f>
        <v>0</v>
      </c>
      <c r="D110" s="233">
        <f>IF(D109="Yes",50,0)</f>
        <v>0</v>
      </c>
    </row>
    <row r="111" spans="2:4" ht="18" customHeight="1" collapsed="1" x14ac:dyDescent="0.15">
      <c r="B111" s="85" t="s">
        <v>294</v>
      </c>
      <c r="C111" s="93" t="s">
        <v>200</v>
      </c>
      <c r="D111" s="93" t="s">
        <v>200</v>
      </c>
    </row>
    <row r="112" spans="2:4" hidden="1" outlineLevel="1" x14ac:dyDescent="0.15">
      <c r="B112" s="232"/>
      <c r="C112" s="233">
        <f>IF(C111="Yes",20,0)</f>
        <v>0</v>
      </c>
      <c r="D112" s="233">
        <f>IF(D111="Yes",20,0)</f>
        <v>0</v>
      </c>
    </row>
    <row r="113" spans="2:4" hidden="1" outlineLevel="1" x14ac:dyDescent="0.15">
      <c r="B113" s="237"/>
      <c r="C113" s="238">
        <f>C106+C108+C110+C112</f>
        <v>0</v>
      </c>
      <c r="D113" s="238">
        <f>D106+D108+D110+D112</f>
        <v>0</v>
      </c>
    </row>
    <row r="114" spans="2:4" ht="6" customHeight="1" collapsed="1" x14ac:dyDescent="0.15"/>
    <row r="115" spans="2:4" ht="18" customHeight="1" x14ac:dyDescent="0.15">
      <c r="B115" s="280" t="s">
        <v>218</v>
      </c>
      <c r="C115" s="280"/>
      <c r="D115" s="280"/>
    </row>
    <row r="116" spans="2:4" ht="18" customHeight="1" x14ac:dyDescent="0.15">
      <c r="B116" s="85" t="s">
        <v>219</v>
      </c>
      <c r="C116" s="86">
        <v>0</v>
      </c>
      <c r="D116" s="86">
        <v>0</v>
      </c>
    </row>
    <row r="117" spans="2:4" hidden="1" outlineLevel="1" x14ac:dyDescent="0.15">
      <c r="B117" s="237"/>
      <c r="C117" s="238">
        <f>-C116*10</f>
        <v>0</v>
      </c>
      <c r="D117" s="238">
        <f>-D116*10</f>
        <v>0</v>
      </c>
    </row>
    <row r="118" spans="2:4" ht="6" customHeight="1" collapsed="1" x14ac:dyDescent="0.15"/>
  </sheetData>
  <mergeCells count="10">
    <mergeCell ref="B73:D73"/>
    <mergeCell ref="B90:D90"/>
    <mergeCell ref="B104:D104"/>
    <mergeCell ref="B115:D115"/>
    <mergeCell ref="B10:D10"/>
    <mergeCell ref="B24:D24"/>
    <mergeCell ref="B32:D32"/>
    <mergeCell ref="B43:D43"/>
    <mergeCell ref="B50:D50"/>
    <mergeCell ref="B64:D64"/>
  </mergeCells>
  <conditionalFormatting sqref="C52:D52 C54:D54 C56:D56 C58:D58 C60:D60">
    <cfRule type="cellIs" dxfId="158" priority="50" stopIfTrue="1" operator="equal">
      <formula>"No"</formula>
    </cfRule>
  </conditionalFormatting>
  <conditionalFormatting sqref="C65:D65 C67:D67 C69:D69">
    <cfRule type="cellIs" dxfId="157" priority="49" stopIfTrue="1" operator="equal">
      <formula>"No"</formula>
    </cfRule>
  </conditionalFormatting>
  <conditionalFormatting sqref="C97">
    <cfRule type="cellIs" dxfId="156" priority="40" stopIfTrue="1" operator="equal">
      <formula>"No"</formula>
    </cfRule>
  </conditionalFormatting>
  <conditionalFormatting sqref="C74">
    <cfRule type="cellIs" dxfId="155" priority="48" stopIfTrue="1" operator="equal">
      <formula>"No"</formula>
    </cfRule>
  </conditionalFormatting>
  <conditionalFormatting sqref="C76">
    <cfRule type="cellIs" dxfId="154" priority="47" stopIfTrue="1" operator="equal">
      <formula>"No"</formula>
    </cfRule>
  </conditionalFormatting>
  <conditionalFormatting sqref="C78">
    <cfRule type="cellIs" dxfId="153" priority="46" stopIfTrue="1" operator="equal">
      <formula>"No"</formula>
    </cfRule>
  </conditionalFormatting>
  <conditionalFormatting sqref="C80">
    <cfRule type="cellIs" dxfId="152" priority="45" stopIfTrue="1" operator="equal">
      <formula>"No"</formula>
    </cfRule>
  </conditionalFormatting>
  <conditionalFormatting sqref="C82">
    <cfRule type="cellIs" dxfId="151" priority="44" stopIfTrue="1" operator="equal">
      <formula>"No"</formula>
    </cfRule>
  </conditionalFormatting>
  <conditionalFormatting sqref="C84">
    <cfRule type="cellIs" dxfId="150" priority="43" stopIfTrue="1" operator="equal">
      <formula>"No"</formula>
    </cfRule>
  </conditionalFormatting>
  <conditionalFormatting sqref="C86">
    <cfRule type="cellIs" dxfId="149" priority="42" stopIfTrue="1" operator="equal">
      <formula>"No"</formula>
    </cfRule>
  </conditionalFormatting>
  <conditionalFormatting sqref="D74">
    <cfRule type="cellIs" dxfId="148" priority="38" stopIfTrue="1" operator="equal">
      <formula>"No"</formula>
    </cfRule>
  </conditionalFormatting>
  <conditionalFormatting sqref="D80">
    <cfRule type="cellIs" dxfId="147" priority="35" stopIfTrue="1" operator="equal">
      <formula>"No"</formula>
    </cfRule>
  </conditionalFormatting>
  <conditionalFormatting sqref="C95">
    <cfRule type="cellIs" dxfId="146" priority="41" stopIfTrue="1" operator="equal">
      <formula>"No"</formula>
    </cfRule>
  </conditionalFormatting>
  <conditionalFormatting sqref="C99">
    <cfRule type="cellIs" dxfId="145" priority="39" stopIfTrue="1" operator="equal">
      <formula>"No"</formula>
    </cfRule>
  </conditionalFormatting>
  <conditionalFormatting sqref="D99">
    <cfRule type="cellIs" dxfId="144" priority="29" stopIfTrue="1" operator="equal">
      <formula>"No"</formula>
    </cfRule>
  </conditionalFormatting>
  <conditionalFormatting sqref="C93">
    <cfRule type="cellIs" dxfId="143" priority="25" stopIfTrue="1" operator="equal">
      <formula>"No"</formula>
    </cfRule>
  </conditionalFormatting>
  <conditionalFormatting sqref="C105 C107 C111">
    <cfRule type="cellIs" dxfId="142" priority="24" stopIfTrue="1" operator="equal">
      <formula>"No"</formula>
    </cfRule>
  </conditionalFormatting>
  <conditionalFormatting sqref="D109">
    <cfRule type="cellIs" dxfId="141" priority="21" stopIfTrue="1" operator="equal">
      <formula>"No"</formula>
    </cfRule>
  </conditionalFormatting>
  <conditionalFormatting sqref="C13:D13">
    <cfRule type="cellIs" dxfId="140" priority="19" stopIfTrue="1" operator="equal">
      <formula>"No"</formula>
    </cfRule>
  </conditionalFormatting>
  <conditionalFormatting sqref="D37">
    <cfRule type="cellIs" dxfId="139" priority="15" stopIfTrue="1" operator="equal">
      <formula>"No"</formula>
    </cfRule>
  </conditionalFormatting>
  <conditionalFormatting sqref="D95">
    <cfRule type="cellIs" dxfId="138" priority="31" stopIfTrue="1" operator="equal">
      <formula>"No"</formula>
    </cfRule>
  </conditionalFormatting>
  <conditionalFormatting sqref="D76">
    <cfRule type="cellIs" dxfId="137" priority="37" stopIfTrue="1" operator="equal">
      <formula>"No"</formula>
    </cfRule>
  </conditionalFormatting>
  <conditionalFormatting sqref="D78">
    <cfRule type="cellIs" dxfId="136" priority="36" stopIfTrue="1" operator="equal">
      <formula>"No"</formula>
    </cfRule>
  </conditionalFormatting>
  <conditionalFormatting sqref="D97">
    <cfRule type="cellIs" dxfId="135" priority="30" stopIfTrue="1" operator="equal">
      <formula>"No"</formula>
    </cfRule>
  </conditionalFormatting>
  <conditionalFormatting sqref="D82">
    <cfRule type="cellIs" dxfId="134" priority="34" stopIfTrue="1" operator="equal">
      <formula>"No"</formula>
    </cfRule>
  </conditionalFormatting>
  <conditionalFormatting sqref="D84">
    <cfRule type="cellIs" dxfId="133" priority="33" stopIfTrue="1" operator="equal">
      <formula>"No"</formula>
    </cfRule>
  </conditionalFormatting>
  <conditionalFormatting sqref="D86">
    <cfRule type="cellIs" dxfId="132" priority="32" stopIfTrue="1" operator="equal">
      <formula>"No"</formula>
    </cfRule>
  </conditionalFormatting>
  <conditionalFormatting sqref="C91">
    <cfRule type="cellIs" dxfId="131" priority="26" stopIfTrue="1" operator="equal">
      <formula>"No"</formula>
    </cfRule>
  </conditionalFormatting>
  <conditionalFormatting sqref="D93">
    <cfRule type="cellIs" dxfId="130" priority="28" stopIfTrue="1" operator="equal">
      <formula>"No"</formula>
    </cfRule>
  </conditionalFormatting>
  <conditionalFormatting sqref="C44 C46">
    <cfRule type="cellIs" dxfId="129" priority="14" stopIfTrue="1" operator="equal">
      <formula>"No"</formula>
    </cfRule>
  </conditionalFormatting>
  <conditionalFormatting sqref="D19">
    <cfRule type="cellIs" dxfId="128" priority="11" stopIfTrue="1" operator="equal">
      <formula>"No"</formula>
    </cfRule>
  </conditionalFormatting>
  <conditionalFormatting sqref="D91">
    <cfRule type="cellIs" dxfId="127" priority="27" stopIfTrue="1" operator="equal">
      <formula>"No"</formula>
    </cfRule>
  </conditionalFormatting>
  <conditionalFormatting sqref="D44 D46">
    <cfRule type="cellIs" dxfId="126" priority="13" stopIfTrue="1" operator="equal">
      <formula>"No"</formula>
    </cfRule>
  </conditionalFormatting>
  <conditionalFormatting sqref="C11:D11">
    <cfRule type="cellIs" dxfId="125" priority="20" stopIfTrue="1" operator="equal">
      <formula>"No"</formula>
    </cfRule>
  </conditionalFormatting>
  <conditionalFormatting sqref="C109">
    <cfRule type="cellIs" dxfId="124" priority="23" stopIfTrue="1" operator="equal">
      <formula>"No"</formula>
    </cfRule>
  </conditionalFormatting>
  <conditionalFormatting sqref="C33 C35 C39">
    <cfRule type="cellIs" dxfId="123" priority="18" stopIfTrue="1" operator="equal">
      <formula>"No"</formula>
    </cfRule>
  </conditionalFormatting>
  <conditionalFormatting sqref="D105 D107 D111">
    <cfRule type="cellIs" dxfId="122" priority="22" stopIfTrue="1" operator="equal">
      <formula>"No"</formula>
    </cfRule>
  </conditionalFormatting>
  <conditionalFormatting sqref="D33 D35 D39">
    <cfRule type="cellIs" dxfId="121" priority="16" stopIfTrue="1" operator="equal">
      <formula>"No"</formula>
    </cfRule>
  </conditionalFormatting>
  <conditionalFormatting sqref="C19">
    <cfRule type="cellIs" dxfId="120" priority="12" stopIfTrue="1" operator="equal">
      <formula>"No"</formula>
    </cfRule>
  </conditionalFormatting>
  <conditionalFormatting sqref="C37">
    <cfRule type="cellIs" dxfId="119" priority="17" stopIfTrue="1" operator="equal">
      <formula>"No"</formula>
    </cfRule>
  </conditionalFormatting>
  <conditionalFormatting sqref="D30">
    <cfRule type="cellIs" dxfId="118" priority="9" stopIfTrue="1" operator="equal">
      <formula>"No"</formula>
    </cfRule>
  </conditionalFormatting>
  <conditionalFormatting sqref="D20">
    <cfRule type="cellIs" dxfId="117" priority="3" stopIfTrue="1" operator="equal">
      <formula>"No"</formula>
    </cfRule>
  </conditionalFormatting>
  <conditionalFormatting sqref="C30">
    <cfRule type="cellIs" dxfId="116" priority="10" stopIfTrue="1" operator="equal">
      <formula>"No"</formula>
    </cfRule>
  </conditionalFormatting>
  <conditionalFormatting sqref="C20">
    <cfRule type="cellIs" dxfId="115" priority="4" stopIfTrue="1" operator="equal">
      <formula>"No"</formula>
    </cfRule>
  </conditionalFormatting>
  <conditionalFormatting sqref="C15">
    <cfRule type="cellIs" dxfId="114" priority="7" operator="equal">
      <formula>"Winner"</formula>
    </cfRule>
    <cfRule type="cellIs" dxfId="113" priority="8" stopIfTrue="1" operator="equal">
      <formula>"No"</formula>
    </cfRule>
  </conditionalFormatting>
  <conditionalFormatting sqref="D15">
    <cfRule type="cellIs" dxfId="112" priority="5" operator="equal">
      <formula>"Winner"</formula>
    </cfRule>
    <cfRule type="cellIs" dxfId="111" priority="6" stopIfTrue="1" operator="equal">
      <formula>"No"</formula>
    </cfRule>
  </conditionalFormatting>
  <conditionalFormatting sqref="D22">
    <cfRule type="cellIs" dxfId="110" priority="1" stopIfTrue="1" operator="equal">
      <formula>"No"</formula>
    </cfRule>
  </conditionalFormatting>
  <conditionalFormatting sqref="C22">
    <cfRule type="cellIs" dxfId="109" priority="2" stopIfTrue="1" operator="equal">
      <formula>"No"</formula>
    </cfRule>
  </conditionalFormatting>
  <dataValidations count="6">
    <dataValidation type="list" allowBlank="1" showInputMessage="1" showErrorMessage="1" sqref="C12:D12" xr:uid="{00000000-0002-0000-0600-000000000000}">
      <formula1>"1,2,3,4,5,6,7,8,9,10,11,12,13,14,15,16,17,18,19,20"</formula1>
    </dataValidation>
    <dataValidation type="list" allowBlank="1" sqref="C25:D25" xr:uid="{00000000-0002-0000-0600-000001000000}">
      <formula1>tTacticsList</formula1>
    </dataValidation>
    <dataValidation type="list" sqref="C116:D116" xr:uid="{00000000-0002-0000-0600-000002000000}">
      <formula1>"0,1,2,3,4,5"</formula1>
    </dataValidation>
    <dataValidation type="list" sqref="C74:D74 C60:D60 C69:D69 C52:D52 C54:D54 C56:D56 C58:D58 C65:D65 C67:D67 C76:D76 C78:D78 C80:D80 C82:D82 C84:D84 C91:D91 C99:D99 C95:D95 C97:D97 C86:D86 C93:D93 C105:D105 C107:D107 C109:D109 C111:D111 C11:D11 C44:D44 C13:D13 C35:D35 C37:D37 C39:D39 C33:D33 C46:D46 C19:D19 C30:D30 C15:D15" xr:uid="{00000000-0002-0000-0600-000003000000}">
      <formula1>"Yes,No"</formula1>
    </dataValidation>
    <dataValidation type="list" showInputMessage="1" showErrorMessage="1" errorTitle="No Force Selected" error="Please select one of the forces from the available forces on the second tab." promptTitle="First Force" prompt="Select  a Force from the list of available forces (second tab)." sqref="C2" xr:uid="{00000000-0002-0000-0600-000004000000}">
      <formula1>rUnitsNames</formula1>
    </dataValidation>
    <dataValidation type="list" showInputMessage="1" showErrorMessage="1" errorTitle="No Force Selected" error="Please select one of the forces from the available forces on the second tab." promptTitle="Second Force" prompt="Select  a Force from the list of available forces (second tab)." sqref="D2" xr:uid="{00000000-0002-0000-0600-000005000000}">
      <formula1>rUnitsNames</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118"/>
  <sheetViews>
    <sheetView showGridLines="0" zoomScale="140" zoomScaleNormal="100" workbookViewId="0">
      <pane xSplit="2" ySplit="2" topLeftCell="C3" activePane="bottomRight" state="frozen"/>
      <selection pane="topRight" activeCell="C1" sqref="C1"/>
      <selection pane="bottomLeft" activeCell="A3" sqref="A3"/>
      <selection pane="bottomRight" activeCell="F9" sqref="F9"/>
    </sheetView>
  </sheetViews>
  <sheetFormatPr baseColWidth="10" defaultColWidth="9.1640625" defaultRowHeight="13" outlineLevelRow="1" x14ac:dyDescent="0.15"/>
  <cols>
    <col min="1" max="1" width="9.1640625" style="57"/>
    <col min="2" max="2" width="55" style="57" bestFit="1" customWidth="1"/>
    <col min="3" max="4" width="34.6640625" style="57" customWidth="1"/>
    <col min="5" max="5" width="9.1640625" style="57"/>
    <col min="6" max="6" width="22" style="57" customWidth="1"/>
    <col min="7" max="16384" width="9.1640625" style="57"/>
  </cols>
  <sheetData>
    <row r="1" spans="2:4" ht="6" customHeight="1" x14ac:dyDescent="0.15"/>
    <row r="2" spans="2:4" ht="42" x14ac:dyDescent="0.15">
      <c r="C2" s="87" t="s">
        <v>352</v>
      </c>
      <c r="D2" s="88" t="s">
        <v>333</v>
      </c>
    </row>
    <row r="3" spans="2:4" ht="20.25" customHeight="1" x14ac:dyDescent="0.15">
      <c r="B3" s="241" t="s">
        <v>6</v>
      </c>
      <c r="C3" s="86">
        <v>75</v>
      </c>
      <c r="D3" s="86">
        <v>269</v>
      </c>
    </row>
    <row r="4" spans="2:4" hidden="1" outlineLevel="1" x14ac:dyDescent="0.15">
      <c r="B4" s="232"/>
      <c r="C4" s="233">
        <f>IF(cNumTroops1&gt;cNumTroops2,VLOOKUP(cNumTroops1/cNumTroops2,tRatio,2,TRUE),0)</f>
        <v>0</v>
      </c>
      <c r="D4" s="233">
        <f>IF(cNumTroops2&gt;cNumTroops1,VLOOKUP(cNumTroops2/cNumTroops1,tRatio,2,TRUE),0)</f>
        <v>45</v>
      </c>
    </row>
    <row r="5" spans="2:4" ht="20.25" customHeight="1" collapsed="1" x14ac:dyDescent="0.15">
      <c r="B5" s="241" t="s">
        <v>185</v>
      </c>
      <c r="C5" s="86">
        <f>HLOOKUP(cForce1,tUnitsStats,27,FALSE)</f>
        <v>44</v>
      </c>
      <c r="D5" s="86">
        <f>HLOOKUP(cForce2,tUnitsStats,27,FALSE)</f>
        <v>109</v>
      </c>
    </row>
    <row r="6" spans="2:4" ht="20.25" customHeight="1" x14ac:dyDescent="0.15">
      <c r="B6" s="241" t="s">
        <v>186</v>
      </c>
      <c r="C6" s="86" t="str">
        <f>HLOOKUP(cForce1,tUnitsStats,28,FALSE)</f>
        <v>Below Average</v>
      </c>
      <c r="D6" s="86" t="str">
        <f>HLOOKUP(cForce2,tUnitsStats,28,FALSE)</f>
        <v>Excellent</v>
      </c>
    </row>
    <row r="7" spans="2:4" hidden="1" outlineLevel="1" x14ac:dyDescent="0.15">
      <c r="B7" s="235"/>
      <c r="C7" s="236">
        <f>IF(C5&gt;0,VLOOKUP(C5,tTroopClass,3,TRUE),"")</f>
        <v>2</v>
      </c>
      <c r="D7" s="236">
        <f>IF(D5&gt;0,VLOOKUP(D5,tTroopClass,3,TRUE),"")</f>
        <v>6</v>
      </c>
    </row>
    <row r="8" spans="2:4" ht="20.25" customHeight="1" collapsed="1" x14ac:dyDescent="0.15">
      <c r="B8" s="241" t="s">
        <v>194</v>
      </c>
      <c r="C8" s="86">
        <f>HLOOKUP(cForce1,tUnitsStats,39,FALSE)</f>
        <v>44</v>
      </c>
      <c r="D8" s="86">
        <f>HLOOKUP(cForce2,tUnitsStats,39,FALSE)</f>
        <v>109</v>
      </c>
    </row>
    <row r="9" spans="2:4" ht="6" customHeight="1" x14ac:dyDescent="0.15"/>
    <row r="10" spans="2:4" ht="18" customHeight="1" x14ac:dyDescent="0.15">
      <c r="B10" s="281" t="s">
        <v>303</v>
      </c>
      <c r="C10" s="281"/>
      <c r="D10" s="281"/>
    </row>
    <row r="11" spans="2:4" ht="18" customHeight="1" thickBot="1" x14ac:dyDescent="0.2">
      <c r="B11" s="242" t="s">
        <v>304</v>
      </c>
      <c r="C11" s="243">
        <f ca="1">C8+C4+C28+C41+C48+C62+C71+C88+C102+C113+C117</f>
        <v>44</v>
      </c>
      <c r="D11" s="243">
        <f ca="1">D8+D4+D28+D41+D48+D62+D71+D88+D102+D113+D117</f>
        <v>184</v>
      </c>
    </row>
    <row r="12" spans="2:4" ht="18" customHeight="1" thickTop="1" thickBot="1" x14ac:dyDescent="0.2">
      <c r="B12" s="85" t="s">
        <v>305</v>
      </c>
      <c r="C12" s="245">
        <v>5</v>
      </c>
      <c r="D12" s="245">
        <v>9</v>
      </c>
    </row>
    <row r="13" spans="2:4" ht="18" customHeight="1" thickTop="1" x14ac:dyDescent="0.15">
      <c r="B13" s="242" t="s">
        <v>306</v>
      </c>
      <c r="C13" s="243">
        <f ca="1">C11+5*C12</f>
        <v>69</v>
      </c>
      <c r="D13" s="243">
        <f ca="1">D11+5*D12</f>
        <v>229</v>
      </c>
    </row>
    <row r="14" spans="2:4" hidden="1" outlineLevel="1" x14ac:dyDescent="0.15">
      <c r="B14" s="232" t="s">
        <v>315</v>
      </c>
      <c r="C14" s="233">
        <f ca="1">ABS(C13-D13)</f>
        <v>160</v>
      </c>
      <c r="D14" s="233" t="b">
        <f ca="1">C13&gt;D13</f>
        <v>0</v>
      </c>
    </row>
    <row r="15" spans="2:4" ht="18" customHeight="1" collapsed="1" x14ac:dyDescent="0.15">
      <c r="B15" s="242" t="s">
        <v>317</v>
      </c>
      <c r="C15" s="247" t="str">
        <f ca="1">IF(D14,"Winner","Loser")</f>
        <v>Loser</v>
      </c>
      <c r="D15" s="247" t="str">
        <f ca="1">IF(D14,"Loser","Winner")</f>
        <v>Winner</v>
      </c>
    </row>
    <row r="16" spans="2:4" hidden="1" outlineLevel="1" x14ac:dyDescent="0.15">
      <c r="B16" s="232" t="s">
        <v>314</v>
      </c>
      <c r="C16" s="244">
        <f ca="1">MAX(0,MIN(100,(VLOOKUP(C14,tCombatResults,2+IF(D14,0,1))+C27)*IF(AND(NOT(D14),D30="Yes"),0.5,1)))/100</f>
        <v>1</v>
      </c>
      <c r="D16" s="244">
        <f ca="1">MAX(0,MIN(100,(VLOOKUP(C14,tCombatResults,2+IF(D14,1,0))+D27)*IF(AND(D14,C30="Yes"),0.5,1)))/100</f>
        <v>0.1</v>
      </c>
    </row>
    <row r="17" spans="2:4" hidden="1" outlineLevel="1" x14ac:dyDescent="0.15">
      <c r="B17" s="232" t="s">
        <v>112</v>
      </c>
      <c r="C17" s="240">
        <f ca="1">ROUND((cNumTroops1*C16/2)*IF(OR(D30="Yes",LEFT(C21,1)="F"),1,0),0)</f>
        <v>0</v>
      </c>
      <c r="D17" s="240">
        <f ca="1">ROUND((cNumTroops2*D16/2)*IF(OR(C30="Yes",LEFT(D21,1)="F"),1,0),0)</f>
        <v>13</v>
      </c>
    </row>
    <row r="18" spans="2:4" hidden="1" outlineLevel="1" x14ac:dyDescent="0.15">
      <c r="B18" s="232" t="s">
        <v>319</v>
      </c>
      <c r="C18" s="240">
        <f ca="1">ROUND((cNumTroops1*C16/2)*IF(OR(D30="Yes",LEFT(C21,1)="F"),1,2),0)</f>
        <v>75</v>
      </c>
      <c r="D18" s="240">
        <f ca="1">ROUND((cNumTroops2*D16/2)*IF(OR(C30="Yes",LEFT(D21,1)="F"),1,2),0)</f>
        <v>13</v>
      </c>
    </row>
    <row r="19" spans="2:4" ht="18" customHeight="1" collapsed="1" x14ac:dyDescent="0.15">
      <c r="B19" s="242" t="s">
        <v>43</v>
      </c>
      <c r="C19" s="243" t="str">
        <f ca="1">C18&amp;" killed"&amp;IF(C17&gt;0,", "&amp;C17&amp;" wounded","")&amp;", "&amp;cNumTroops1-C17-C18&amp;" remaining"</f>
        <v>75 killed, 0 remaining</v>
      </c>
      <c r="D19" s="243" t="str">
        <f ca="1">D18&amp;" killed"&amp;IF(D17&gt;0,", "&amp;D17&amp;" wounded","")&amp;", "&amp;cNumTroops2-D17-D18&amp;" remaining"</f>
        <v>13 killed, 13 wounded, 243 remaining</v>
      </c>
    </row>
    <row r="20" spans="2:4" ht="18" customHeight="1" x14ac:dyDescent="0.15">
      <c r="B20" s="242" t="s">
        <v>320</v>
      </c>
      <c r="C20" s="249">
        <f ca="1">VLOOKUP(C14,tCombatResults,4+IF(D14,0,1))</f>
        <v>4</v>
      </c>
      <c r="D20" s="249">
        <f ca="1">VLOOKUP(C14,tCombatResults,4+IF(D14,1,0))</f>
        <v>0</v>
      </c>
    </row>
    <row r="21" spans="2:4" hidden="1" outlineLevel="1" x14ac:dyDescent="0.15">
      <c r="B21" s="232" t="s">
        <v>95</v>
      </c>
      <c r="C21" s="240" t="str">
        <f ca="1">VLOOKUP(C14,tCombatResults,6+IF(D14,0,1),TRUE)</f>
        <v>D</v>
      </c>
      <c r="D21" s="240" t="str">
        <f ca="1">VLOOKUP(C14,tCombatResults,6+IF(D14,1,0),TRUE)</f>
        <v>F+5</v>
      </c>
    </row>
    <row r="22" spans="2:4" ht="28" collapsed="1" x14ac:dyDescent="0.15">
      <c r="B22" s="242" t="s">
        <v>95</v>
      </c>
      <c r="C22" s="248" t="str">
        <f ca="1">VLOOKUP(C21,tLocationResults,2,FALSE)</f>
        <v>The force is annihilated.</v>
      </c>
      <c r="D22" s="248" t="str">
        <f ca="1">VLOOKUP(D21,tLocationResults,2,FALSE)</f>
        <v>The force can advance Five (5) Terrain Units.</v>
      </c>
    </row>
    <row r="23" spans="2:4" ht="6" customHeight="1" x14ac:dyDescent="0.15"/>
    <row r="24" spans="2:4" ht="18" customHeight="1" thickBot="1" x14ac:dyDescent="0.2">
      <c r="B24" s="280" t="s">
        <v>128</v>
      </c>
      <c r="C24" s="280"/>
      <c r="D24" s="280"/>
    </row>
    <row r="25" spans="2:4" ht="18" customHeight="1" thickTop="1" thickBot="1" x14ac:dyDescent="0.2">
      <c r="B25" s="85" t="s">
        <v>297</v>
      </c>
      <c r="C25" s="245" t="s">
        <v>125</v>
      </c>
      <c r="D25" s="245" t="s">
        <v>126</v>
      </c>
    </row>
    <row r="26" spans="2:4" ht="14" hidden="1" outlineLevel="1" thickTop="1" x14ac:dyDescent="0.15">
      <c r="B26" s="234" t="s">
        <v>298</v>
      </c>
      <c r="C26" s="240">
        <f>MATCH(C25,tTacticsList,0)</f>
        <v>6</v>
      </c>
      <c r="D26" s="240">
        <f>MATCH(D25,tTacticsList,0)</f>
        <v>2</v>
      </c>
    </row>
    <row r="27" spans="2:4" hidden="1" outlineLevel="1" x14ac:dyDescent="0.15">
      <c r="B27" s="237" t="s">
        <v>299</v>
      </c>
      <c r="C27" s="238">
        <f ca="1">OFFSET(tTacticsCasualties,Main!D26,Main!C26)</f>
        <v>20</v>
      </c>
      <c r="D27" s="238">
        <f ca="1">OFFSET(tTacticsCasualties,Main!C26,Main!D26)</f>
        <v>0</v>
      </c>
    </row>
    <row r="28" spans="2:4" hidden="1" outlineLevel="1" x14ac:dyDescent="0.15">
      <c r="B28" s="237" t="s">
        <v>80</v>
      </c>
      <c r="C28" s="238">
        <f ca="1">OFFSET(tTacticsBonus,Main!D26,Main!C26)</f>
        <v>0</v>
      </c>
      <c r="D28" s="238">
        <f ca="1">OFFSET(tTacticsBonus,Main!C26,Main!D26)</f>
        <v>10</v>
      </c>
    </row>
    <row r="29" spans="2:4" ht="14" hidden="1" outlineLevel="1" thickBot="1" x14ac:dyDescent="0.2">
      <c r="B29" s="237" t="s">
        <v>301</v>
      </c>
      <c r="C29" s="238">
        <f ca="1">OFFSET(tTacticsEffects,Main!D26,Main!C26)</f>
        <v>0</v>
      </c>
      <c r="D29" s="238">
        <f ca="1">OFFSET(tTacticsEffects,Main!C26,Main!D26)</f>
        <v>0</v>
      </c>
    </row>
    <row r="30" spans="2:4" ht="18" customHeight="1" collapsed="1" thickTop="1" thickBot="1" x14ac:dyDescent="0.2">
      <c r="B30" s="85" t="s">
        <v>316</v>
      </c>
      <c r="C30" s="246" t="s">
        <v>200</v>
      </c>
      <c r="D30" s="246" t="s">
        <v>200</v>
      </c>
    </row>
    <row r="31" spans="2:4" ht="6" customHeight="1" thickTop="1" x14ac:dyDescent="0.15"/>
    <row r="32" spans="2:4" ht="18" customHeight="1" x14ac:dyDescent="0.15">
      <c r="B32" s="280" t="s">
        <v>307</v>
      </c>
      <c r="C32" s="280"/>
      <c r="D32" s="280"/>
    </row>
    <row r="33" spans="2:4" ht="18" customHeight="1" x14ac:dyDescent="0.15">
      <c r="B33" s="85" t="s">
        <v>311</v>
      </c>
      <c r="C33" s="93" t="s">
        <v>200</v>
      </c>
      <c r="D33" s="93" t="s">
        <v>200</v>
      </c>
    </row>
    <row r="34" spans="2:4" hidden="1" outlineLevel="1" x14ac:dyDescent="0.15">
      <c r="B34" s="232"/>
      <c r="C34" s="233">
        <f>IF(C33="Yes",50,0)</f>
        <v>0</v>
      </c>
      <c r="D34" s="233">
        <f>IF(D33="Yes",50,0)</f>
        <v>0</v>
      </c>
    </row>
    <row r="35" spans="2:4" ht="18" customHeight="1" collapsed="1" x14ac:dyDescent="0.15">
      <c r="B35" s="85" t="s">
        <v>312</v>
      </c>
      <c r="C35" s="93" t="s">
        <v>200</v>
      </c>
      <c r="D35" s="93" t="s">
        <v>200</v>
      </c>
    </row>
    <row r="36" spans="2:4" hidden="1" outlineLevel="1" x14ac:dyDescent="0.15">
      <c r="B36" s="232"/>
      <c r="C36" s="233">
        <f>IF(C35="Yes",20,0)</f>
        <v>0</v>
      </c>
      <c r="D36" s="233">
        <f>IF(D35="Yes",20,0)</f>
        <v>0</v>
      </c>
    </row>
    <row r="37" spans="2:4" ht="18" customHeight="1" collapsed="1" x14ac:dyDescent="0.15">
      <c r="B37" s="85" t="s">
        <v>313</v>
      </c>
      <c r="C37" s="93" t="s">
        <v>200</v>
      </c>
      <c r="D37" s="93" t="s">
        <v>200</v>
      </c>
    </row>
    <row r="38" spans="2:4" hidden="1" outlineLevel="1" x14ac:dyDescent="0.15">
      <c r="B38" s="232"/>
      <c r="C38" s="233">
        <f>IF(C37="Yes",10,0)</f>
        <v>0</v>
      </c>
      <c r="D38" s="233">
        <f>IF(D37="Yes",10,0)</f>
        <v>0</v>
      </c>
    </row>
    <row r="39" spans="2:4" ht="18" customHeight="1" collapsed="1" x14ac:dyDescent="0.15">
      <c r="B39" s="85" t="s">
        <v>308</v>
      </c>
      <c r="C39" s="93" t="s">
        <v>200</v>
      </c>
      <c r="D39" s="93" t="s">
        <v>200</v>
      </c>
    </row>
    <row r="40" spans="2:4" hidden="1" outlineLevel="1" x14ac:dyDescent="0.15">
      <c r="B40" s="232"/>
      <c r="C40" s="233">
        <f>IF(C39="Yes",-25,0)</f>
        <v>0</v>
      </c>
      <c r="D40" s="233">
        <f>IF(D39="Yes",-25,0)</f>
        <v>0</v>
      </c>
    </row>
    <row r="41" spans="2:4" hidden="1" outlineLevel="1" x14ac:dyDescent="0.15">
      <c r="B41" s="237"/>
      <c r="C41" s="238">
        <f>C34+C36+C38+C40</f>
        <v>0</v>
      </c>
      <c r="D41" s="238">
        <f>D34+D36+D38+D40</f>
        <v>0</v>
      </c>
    </row>
    <row r="42" spans="2:4" ht="6" customHeight="1" collapsed="1" x14ac:dyDescent="0.15"/>
    <row r="43" spans="2:4" ht="18" customHeight="1" x14ac:dyDescent="0.15">
      <c r="B43" s="280" t="s">
        <v>61</v>
      </c>
      <c r="C43" s="280"/>
      <c r="D43" s="280"/>
    </row>
    <row r="44" spans="2:4" ht="18" customHeight="1" x14ac:dyDescent="0.15">
      <c r="B44" s="85" t="s">
        <v>309</v>
      </c>
      <c r="C44" s="93" t="s">
        <v>200</v>
      </c>
      <c r="D44" s="93" t="s">
        <v>200</v>
      </c>
    </row>
    <row r="45" spans="2:4" hidden="1" outlineLevel="1" x14ac:dyDescent="0.15">
      <c r="B45" s="232"/>
      <c r="C45" s="233">
        <f>IF(C44="Yes",40,0)</f>
        <v>0</v>
      </c>
      <c r="D45" s="233">
        <f>IF(D44="Yes",40,0)</f>
        <v>0</v>
      </c>
    </row>
    <row r="46" spans="2:4" ht="18" customHeight="1" collapsed="1" x14ac:dyDescent="0.15">
      <c r="B46" s="85" t="s">
        <v>310</v>
      </c>
      <c r="C46" s="93" t="s">
        <v>200</v>
      </c>
      <c r="D46" s="93" t="s">
        <v>200</v>
      </c>
    </row>
    <row r="47" spans="2:4" hidden="1" outlineLevel="1" x14ac:dyDescent="0.15">
      <c r="B47" s="232"/>
      <c r="C47" s="233">
        <f>IF(C46="Yes",20,0)</f>
        <v>0</v>
      </c>
      <c r="D47" s="233">
        <f>IF(D46="Yes",20,0)</f>
        <v>0</v>
      </c>
    </row>
    <row r="48" spans="2:4" hidden="1" outlineLevel="1" x14ac:dyDescent="0.15">
      <c r="B48" s="237"/>
      <c r="C48" s="238">
        <f>C45+C47</f>
        <v>0</v>
      </c>
      <c r="D48" s="238">
        <f>D45+D47</f>
        <v>0</v>
      </c>
    </row>
    <row r="49" spans="2:4" ht="6" customHeight="1" collapsed="1" x14ac:dyDescent="0.15"/>
    <row r="50" spans="2:4" ht="18" customHeight="1" x14ac:dyDescent="0.15">
      <c r="B50" s="280" t="s">
        <v>58</v>
      </c>
      <c r="C50" s="280"/>
      <c r="D50" s="280"/>
    </row>
    <row r="51" spans="2:4" hidden="1" outlineLevel="1" x14ac:dyDescent="0.15">
      <c r="B51" s="234" t="s">
        <v>290</v>
      </c>
      <c r="C51" s="233">
        <f>IF(C7&gt;D7,(C7-D7)*5,0)</f>
        <v>0</v>
      </c>
      <c r="D51" s="233">
        <f>IF(D7&gt;C7,(D7-C7)*5,0)</f>
        <v>20</v>
      </c>
    </row>
    <row r="52" spans="2:4" ht="18" customHeight="1" collapsed="1" x14ac:dyDescent="0.15">
      <c r="B52" s="85" t="s">
        <v>196</v>
      </c>
      <c r="C52" s="93" t="s">
        <v>200</v>
      </c>
      <c r="D52" s="93" t="s">
        <v>200</v>
      </c>
    </row>
    <row r="53" spans="2:4" hidden="1" outlineLevel="1" x14ac:dyDescent="0.15">
      <c r="B53" s="232"/>
      <c r="C53" s="233">
        <f>IF(C52="Yes",10,0)</f>
        <v>0</v>
      </c>
      <c r="D53" s="233">
        <f>IF(D52="Yes",10,0)</f>
        <v>0</v>
      </c>
    </row>
    <row r="54" spans="2:4" ht="18" customHeight="1" collapsed="1" x14ac:dyDescent="0.15">
      <c r="B54" s="85" t="s">
        <v>201</v>
      </c>
      <c r="C54" s="93" t="s">
        <v>200</v>
      </c>
      <c r="D54" s="93" t="s">
        <v>200</v>
      </c>
    </row>
    <row r="55" spans="2:4" hidden="1" outlineLevel="1" x14ac:dyDescent="0.15">
      <c r="B55" s="232"/>
      <c r="C55" s="233">
        <f>IF(C54="Yes",10,0)</f>
        <v>0</v>
      </c>
      <c r="D55" s="233">
        <f>IF(D54="Yes",10,0)</f>
        <v>0</v>
      </c>
    </row>
    <row r="56" spans="2:4" ht="18" customHeight="1" collapsed="1" x14ac:dyDescent="0.15">
      <c r="B56" s="85" t="s">
        <v>202</v>
      </c>
      <c r="C56" s="93" t="s">
        <v>200</v>
      </c>
      <c r="D56" s="93" t="s">
        <v>200</v>
      </c>
    </row>
    <row r="57" spans="2:4" hidden="1" outlineLevel="1" x14ac:dyDescent="0.15">
      <c r="B57" s="232"/>
      <c r="C57" s="233">
        <f>IF(C56="Yes",-20,0)</f>
        <v>0</v>
      </c>
      <c r="D57" s="233">
        <f>IF(D56="Yes",-20,0)</f>
        <v>0</v>
      </c>
    </row>
    <row r="58" spans="2:4" ht="18" customHeight="1" collapsed="1" x14ac:dyDescent="0.15">
      <c r="B58" s="85" t="s">
        <v>197</v>
      </c>
      <c r="C58" s="93" t="s">
        <v>200</v>
      </c>
      <c r="D58" s="93" t="s">
        <v>200</v>
      </c>
    </row>
    <row r="59" spans="2:4" hidden="1" outlineLevel="1" x14ac:dyDescent="0.15">
      <c r="B59" s="232"/>
      <c r="C59" s="233">
        <f>IF(C58="Yes",30,0)</f>
        <v>0</v>
      </c>
      <c r="D59" s="233">
        <f>IF(D58="Yes",30,0)</f>
        <v>0</v>
      </c>
    </row>
    <row r="60" spans="2:4" ht="18" customHeight="1" collapsed="1" x14ac:dyDescent="0.15">
      <c r="B60" s="85" t="s">
        <v>198</v>
      </c>
      <c r="C60" s="93" t="s">
        <v>200</v>
      </c>
      <c r="D60" s="93" t="s">
        <v>200</v>
      </c>
    </row>
    <row r="61" spans="2:4" hidden="1" outlineLevel="1" x14ac:dyDescent="0.15">
      <c r="B61" s="232"/>
      <c r="C61" s="233">
        <f>IF(C60="Yes",-10,0)</f>
        <v>0</v>
      </c>
      <c r="D61" s="233">
        <f>IF(D60="Yes",-10,0)</f>
        <v>0</v>
      </c>
    </row>
    <row r="62" spans="2:4" hidden="1" outlineLevel="1" x14ac:dyDescent="0.15">
      <c r="B62" s="237"/>
      <c r="C62" s="238">
        <f>C51+C53+C55+C57+C59+C61</f>
        <v>0</v>
      </c>
      <c r="D62" s="238">
        <f>D51+D53+D55+D57+D59+D61</f>
        <v>20</v>
      </c>
    </row>
    <row r="63" spans="2:4" ht="6" customHeight="1" collapsed="1" x14ac:dyDescent="0.15"/>
    <row r="64" spans="2:4" ht="18" customHeight="1" x14ac:dyDescent="0.15">
      <c r="B64" s="280" t="s">
        <v>61</v>
      </c>
      <c r="C64" s="280"/>
      <c r="D64" s="280"/>
    </row>
    <row r="65" spans="2:4" ht="18" customHeight="1" x14ac:dyDescent="0.15">
      <c r="B65" s="85" t="s">
        <v>204</v>
      </c>
      <c r="C65" s="93" t="s">
        <v>200</v>
      </c>
      <c r="D65" s="93" t="s">
        <v>200</v>
      </c>
    </row>
    <row r="66" spans="2:4" hidden="1" outlineLevel="1" x14ac:dyDescent="0.15">
      <c r="B66" s="232"/>
      <c r="C66" s="233">
        <f>IF(C65="Yes",25,0)</f>
        <v>0</v>
      </c>
      <c r="D66" s="233">
        <f>IF(D65="Yes",25,0)</f>
        <v>0</v>
      </c>
    </row>
    <row r="67" spans="2:4" ht="18" customHeight="1" collapsed="1" x14ac:dyDescent="0.15">
      <c r="B67" s="85" t="s">
        <v>205</v>
      </c>
      <c r="C67" s="93" t="s">
        <v>200</v>
      </c>
      <c r="D67" s="93" t="s">
        <v>200</v>
      </c>
    </row>
    <row r="68" spans="2:4" hidden="1" outlineLevel="1" x14ac:dyDescent="0.15">
      <c r="B68" s="232"/>
      <c r="C68" s="233">
        <f>IF(C67="Yes",-25,0)</f>
        <v>0</v>
      </c>
      <c r="D68" s="233">
        <f>IF(D67="Yes",-25,0)</f>
        <v>0</v>
      </c>
    </row>
    <row r="69" spans="2:4" ht="18" customHeight="1" collapsed="1" x14ac:dyDescent="0.15">
      <c r="B69" s="85" t="s">
        <v>224</v>
      </c>
      <c r="C69" s="93" t="s">
        <v>200</v>
      </c>
      <c r="D69" s="93" t="s">
        <v>200</v>
      </c>
    </row>
    <row r="70" spans="2:4" hidden="1" outlineLevel="1" x14ac:dyDescent="0.15">
      <c r="B70" s="232"/>
      <c r="C70" s="233">
        <f>IF(C69="Yes",20,0)</f>
        <v>0</v>
      </c>
      <c r="D70" s="233">
        <f>IF(D69="Yes",20,0)</f>
        <v>0</v>
      </c>
    </row>
    <row r="71" spans="2:4" hidden="1" outlineLevel="1" x14ac:dyDescent="0.15">
      <c r="B71" s="237"/>
      <c r="C71" s="238">
        <f>C66+C68+C70</f>
        <v>0</v>
      </c>
      <c r="D71" s="238">
        <f>D66+D68+D70</f>
        <v>0</v>
      </c>
    </row>
    <row r="72" spans="2:4" ht="6" customHeight="1" collapsed="1" x14ac:dyDescent="0.15"/>
    <row r="73" spans="2:4" ht="18" customHeight="1" x14ac:dyDescent="0.15">
      <c r="B73" s="280" t="s">
        <v>74</v>
      </c>
      <c r="C73" s="280"/>
      <c r="D73" s="280"/>
    </row>
    <row r="74" spans="2:4" ht="18" customHeight="1" x14ac:dyDescent="0.15">
      <c r="B74" s="85" t="s">
        <v>206</v>
      </c>
      <c r="C74" s="93" t="s">
        <v>200</v>
      </c>
      <c r="D74" s="93" t="s">
        <v>200</v>
      </c>
    </row>
    <row r="75" spans="2:4" hidden="1" outlineLevel="1" x14ac:dyDescent="0.15">
      <c r="B75" s="232"/>
      <c r="C75" s="233">
        <f>IF(C74="Yes",20,0)</f>
        <v>0</v>
      </c>
      <c r="D75" s="233">
        <f>IF(D74="Yes",20,0)</f>
        <v>0</v>
      </c>
    </row>
    <row r="76" spans="2:4" ht="18" customHeight="1" collapsed="1" x14ac:dyDescent="0.15">
      <c r="B76" s="85" t="s">
        <v>207</v>
      </c>
      <c r="C76" s="93" t="s">
        <v>200</v>
      </c>
      <c r="D76" s="93" t="s">
        <v>200</v>
      </c>
    </row>
    <row r="77" spans="2:4" hidden="1" outlineLevel="1" x14ac:dyDescent="0.15">
      <c r="B77" s="232"/>
      <c r="C77" s="233">
        <f>IF(C76="Yes",20,0)</f>
        <v>0</v>
      </c>
      <c r="D77" s="233">
        <f>IF(D76="Yes",20,0)</f>
        <v>0</v>
      </c>
    </row>
    <row r="78" spans="2:4" ht="18" customHeight="1" collapsed="1" x14ac:dyDescent="0.15">
      <c r="B78" s="85" t="s">
        <v>208</v>
      </c>
      <c r="C78" s="93" t="s">
        <v>200</v>
      </c>
      <c r="D78" s="93" t="s">
        <v>200</v>
      </c>
    </row>
    <row r="79" spans="2:4" hidden="1" outlineLevel="1" x14ac:dyDescent="0.15">
      <c r="B79" s="232"/>
      <c r="C79" s="233">
        <f>IF(C78="Yes",10,0)</f>
        <v>0</v>
      </c>
      <c r="D79" s="233">
        <f>IF(D78="Yes",10,0)</f>
        <v>0</v>
      </c>
    </row>
    <row r="80" spans="2:4" ht="18" customHeight="1" collapsed="1" x14ac:dyDescent="0.15">
      <c r="B80" s="85" t="s">
        <v>209</v>
      </c>
      <c r="C80" s="93" t="s">
        <v>200</v>
      </c>
      <c r="D80" s="93" t="s">
        <v>200</v>
      </c>
    </row>
    <row r="81" spans="2:4" hidden="1" outlineLevel="1" x14ac:dyDescent="0.15">
      <c r="B81" s="232"/>
      <c r="C81" s="233">
        <f>IF(C80="Yes",20,0)</f>
        <v>0</v>
      </c>
      <c r="D81" s="233">
        <f>IF(D80="Yes",20,0)</f>
        <v>0</v>
      </c>
    </row>
    <row r="82" spans="2:4" ht="18" customHeight="1" collapsed="1" x14ac:dyDescent="0.15">
      <c r="B82" s="85" t="s">
        <v>210</v>
      </c>
      <c r="C82" s="93" t="s">
        <v>200</v>
      </c>
      <c r="D82" s="93" t="s">
        <v>200</v>
      </c>
    </row>
    <row r="83" spans="2:4" hidden="1" outlineLevel="1" x14ac:dyDescent="0.15">
      <c r="B83" s="232"/>
      <c r="C83" s="233">
        <f>IF(C82="Yes",-20,0)</f>
        <v>0</v>
      </c>
      <c r="D83" s="233">
        <f>IF(D82="Yes",-20,0)</f>
        <v>0</v>
      </c>
    </row>
    <row r="84" spans="2:4" ht="18" customHeight="1" collapsed="1" x14ac:dyDescent="0.15">
      <c r="B84" s="85" t="s">
        <v>211</v>
      </c>
      <c r="C84" s="93" t="s">
        <v>200</v>
      </c>
      <c r="D84" s="93" t="s">
        <v>200</v>
      </c>
    </row>
    <row r="85" spans="2:4" hidden="1" outlineLevel="1" x14ac:dyDescent="0.15">
      <c r="B85" s="232"/>
      <c r="C85" s="233">
        <f>IF(C84="Yes",-20,0)</f>
        <v>0</v>
      </c>
      <c r="D85" s="233">
        <f>IF(D84="Yes",-20,0)</f>
        <v>0</v>
      </c>
    </row>
    <row r="86" spans="2:4" ht="18" customHeight="1" collapsed="1" x14ac:dyDescent="0.15">
      <c r="B86" s="85" t="s">
        <v>212</v>
      </c>
      <c r="C86" s="93" t="s">
        <v>200</v>
      </c>
      <c r="D86" s="93" t="s">
        <v>200</v>
      </c>
    </row>
    <row r="87" spans="2:4" hidden="1" outlineLevel="1" x14ac:dyDescent="0.15">
      <c r="B87" s="232"/>
      <c r="C87" s="233">
        <f>IF(C86="Yes",-10,0)</f>
        <v>0</v>
      </c>
      <c r="D87" s="233">
        <f>IF(D86="Yes",-10,0)</f>
        <v>0</v>
      </c>
    </row>
    <row r="88" spans="2:4" hidden="1" outlineLevel="1" x14ac:dyDescent="0.15">
      <c r="B88" s="237"/>
      <c r="C88" s="238">
        <f>C75+C77+C79+C81+C83+C85+C87</f>
        <v>0</v>
      </c>
      <c r="D88" s="238">
        <f>D75+D77+D79+D81+D83+D85+D87</f>
        <v>0</v>
      </c>
    </row>
    <row r="89" spans="2:4" ht="6" customHeight="1" collapsed="1" x14ac:dyDescent="0.15"/>
    <row r="90" spans="2:4" ht="18" customHeight="1" x14ac:dyDescent="0.15">
      <c r="B90" s="280" t="s">
        <v>213</v>
      </c>
      <c r="C90" s="280"/>
      <c r="D90" s="280"/>
    </row>
    <row r="91" spans="2:4" ht="18" customHeight="1" x14ac:dyDescent="0.15">
      <c r="B91" s="85" t="s">
        <v>214</v>
      </c>
      <c r="C91" s="93" t="s">
        <v>200</v>
      </c>
      <c r="D91" s="93" t="s">
        <v>200</v>
      </c>
    </row>
    <row r="92" spans="2:4" hidden="1" outlineLevel="1" x14ac:dyDescent="0.15">
      <c r="B92" s="232"/>
      <c r="C92" s="233">
        <f>IF(C91="Yes",10,0)</f>
        <v>0</v>
      </c>
      <c r="D92" s="233">
        <f>IF(D91="Yes",10,0)</f>
        <v>0</v>
      </c>
    </row>
    <row r="93" spans="2:4" ht="18" customHeight="1" collapsed="1" x14ac:dyDescent="0.15">
      <c r="B93" s="85" t="s">
        <v>215</v>
      </c>
      <c r="C93" s="93" t="s">
        <v>200</v>
      </c>
      <c r="D93" s="93" t="s">
        <v>200</v>
      </c>
    </row>
    <row r="94" spans="2:4" hidden="1" outlineLevel="1" x14ac:dyDescent="0.15">
      <c r="B94" s="232"/>
      <c r="C94" s="233">
        <f>IF(C93="Yes",50,0)</f>
        <v>0</v>
      </c>
      <c r="D94" s="233">
        <f>IF(D93="Yes",50,0)</f>
        <v>0</v>
      </c>
    </row>
    <row r="95" spans="2:4" ht="18" customHeight="1" collapsed="1" x14ac:dyDescent="0.15">
      <c r="B95" s="85" t="s">
        <v>216</v>
      </c>
      <c r="C95" s="93" t="s">
        <v>200</v>
      </c>
      <c r="D95" s="93" t="s">
        <v>200</v>
      </c>
    </row>
    <row r="96" spans="2:4" hidden="1" outlineLevel="1" x14ac:dyDescent="0.15">
      <c r="B96" s="232"/>
      <c r="C96" s="233">
        <f>IF(C95="Yes",40,0)</f>
        <v>0</v>
      </c>
      <c r="D96" s="233">
        <f>IF(D95="Yes",40,0)</f>
        <v>0</v>
      </c>
    </row>
    <row r="97" spans="2:4" ht="18" customHeight="1" collapsed="1" x14ac:dyDescent="0.15">
      <c r="B97" s="85" t="s">
        <v>217</v>
      </c>
      <c r="C97" s="93" t="s">
        <v>200</v>
      </c>
      <c r="D97" s="93" t="s">
        <v>200</v>
      </c>
    </row>
    <row r="98" spans="2:4" hidden="1" outlineLevel="1" x14ac:dyDescent="0.15">
      <c r="B98" s="232"/>
      <c r="C98" s="233">
        <f>IF(C97="Yes",20,0)</f>
        <v>0</v>
      </c>
      <c r="D98" s="233">
        <f>IF(D97="Yes",20,0)</f>
        <v>0</v>
      </c>
    </row>
    <row r="99" spans="2:4" ht="18" customHeight="1" collapsed="1" x14ac:dyDescent="0.15">
      <c r="B99" s="85" t="s">
        <v>225</v>
      </c>
      <c r="C99" s="93" t="s">
        <v>200</v>
      </c>
      <c r="D99" s="93" t="s">
        <v>200</v>
      </c>
    </row>
    <row r="100" spans="2:4" hidden="1" outlineLevel="1" x14ac:dyDescent="0.15">
      <c r="B100" s="232"/>
      <c r="C100" s="233">
        <f>IF(C99="Yes",50,0)</f>
        <v>0</v>
      </c>
      <c r="D100" s="233">
        <f>IF(D99="Yes",50,0)</f>
        <v>0</v>
      </c>
    </row>
    <row r="101" spans="2:4" hidden="1" outlineLevel="1" x14ac:dyDescent="0.15">
      <c r="B101" s="235"/>
      <c r="C101" s="236">
        <f>HLOOKUP(cForce1,tUnitsStats,36,FALSE)*100</f>
        <v>0</v>
      </c>
      <c r="D101" s="236">
        <f>HLOOKUP(cForce2,tUnitsStats,36,FALSE)*100</f>
        <v>0</v>
      </c>
    </row>
    <row r="102" spans="2:4" hidden="1" outlineLevel="1" x14ac:dyDescent="0.15">
      <c r="B102" s="237"/>
      <c r="C102" s="238">
        <f>(C92+C94+C96+C98+C100)*IF(D101&gt;99,0,IF(D101&gt;4,0.5,1))</f>
        <v>0</v>
      </c>
      <c r="D102" s="238">
        <f>(D92+D94+D96+D98+D100)*IF(C101&gt;99,0,IF(C101&gt;4,0.5,1))</f>
        <v>0</v>
      </c>
    </row>
    <row r="103" spans="2:4" ht="6" customHeight="1" collapsed="1" x14ac:dyDescent="0.15"/>
    <row r="104" spans="2:4" ht="18" customHeight="1" x14ac:dyDescent="0.15">
      <c r="B104" s="280" t="s">
        <v>295</v>
      </c>
      <c r="C104" s="280"/>
      <c r="D104" s="280"/>
    </row>
    <row r="105" spans="2:4" ht="18" customHeight="1" x14ac:dyDescent="0.15">
      <c r="B105" s="85" t="s">
        <v>291</v>
      </c>
      <c r="C105" s="93" t="s">
        <v>200</v>
      </c>
      <c r="D105" s="93" t="s">
        <v>200</v>
      </c>
    </row>
    <row r="106" spans="2:4" hidden="1" outlineLevel="1" x14ac:dyDescent="0.15">
      <c r="B106" s="232"/>
      <c r="C106" s="233">
        <f>IF(C105="Yes",150,0)</f>
        <v>0</v>
      </c>
      <c r="D106" s="233">
        <f>IF(D105="Yes",150,0)</f>
        <v>0</v>
      </c>
    </row>
    <row r="107" spans="2:4" ht="18" customHeight="1" collapsed="1" x14ac:dyDescent="0.15">
      <c r="B107" s="85" t="s">
        <v>292</v>
      </c>
      <c r="C107" s="93" t="s">
        <v>200</v>
      </c>
      <c r="D107" s="93" t="s">
        <v>200</v>
      </c>
    </row>
    <row r="108" spans="2:4" hidden="1" outlineLevel="1" x14ac:dyDescent="0.15">
      <c r="B108" s="232"/>
      <c r="C108" s="233">
        <f>IF(C107="Yes",50,0)</f>
        <v>0</v>
      </c>
      <c r="D108" s="233">
        <f>IF(D107="Yes",50,0)</f>
        <v>0</v>
      </c>
    </row>
    <row r="109" spans="2:4" ht="18" customHeight="1" collapsed="1" x14ac:dyDescent="0.15">
      <c r="B109" s="85" t="s">
        <v>293</v>
      </c>
      <c r="C109" s="93" t="s">
        <v>200</v>
      </c>
      <c r="D109" s="93" t="s">
        <v>200</v>
      </c>
    </row>
    <row r="110" spans="2:4" hidden="1" outlineLevel="1" x14ac:dyDescent="0.15">
      <c r="B110" s="232"/>
      <c r="C110" s="233">
        <f>IF(C109="Yes",50,0)</f>
        <v>0</v>
      </c>
      <c r="D110" s="233">
        <f>IF(D109="Yes",50,0)</f>
        <v>0</v>
      </c>
    </row>
    <row r="111" spans="2:4" ht="18" customHeight="1" collapsed="1" x14ac:dyDescent="0.15">
      <c r="B111" s="85" t="s">
        <v>294</v>
      </c>
      <c r="C111" s="93" t="s">
        <v>200</v>
      </c>
      <c r="D111" s="93" t="s">
        <v>200</v>
      </c>
    </row>
    <row r="112" spans="2:4" hidden="1" outlineLevel="1" x14ac:dyDescent="0.15">
      <c r="B112" s="232"/>
      <c r="C112" s="233">
        <f>IF(C111="Yes",20,0)</f>
        <v>0</v>
      </c>
      <c r="D112" s="233">
        <f>IF(D111="Yes",20,0)</f>
        <v>0</v>
      </c>
    </row>
    <row r="113" spans="2:4" hidden="1" outlineLevel="1" x14ac:dyDescent="0.15">
      <c r="B113" s="237"/>
      <c r="C113" s="238">
        <f>C106+C108+C110+C112</f>
        <v>0</v>
      </c>
      <c r="D113" s="238">
        <f>D106+D108+D110+D112</f>
        <v>0</v>
      </c>
    </row>
    <row r="114" spans="2:4" ht="6" customHeight="1" collapsed="1" x14ac:dyDescent="0.15"/>
    <row r="115" spans="2:4" ht="18" customHeight="1" x14ac:dyDescent="0.15">
      <c r="B115" s="280" t="s">
        <v>218</v>
      </c>
      <c r="C115" s="280"/>
      <c r="D115" s="280"/>
    </row>
    <row r="116" spans="2:4" ht="18" customHeight="1" x14ac:dyDescent="0.15">
      <c r="B116" s="85" t="s">
        <v>219</v>
      </c>
      <c r="C116" s="86">
        <v>0</v>
      </c>
      <c r="D116" s="86">
        <v>0</v>
      </c>
    </row>
    <row r="117" spans="2:4" hidden="1" outlineLevel="1" x14ac:dyDescent="0.15">
      <c r="B117" s="237"/>
      <c r="C117" s="238">
        <f>-C116*10</f>
        <v>0</v>
      </c>
      <c r="D117" s="238">
        <f>-D116*10</f>
        <v>0</v>
      </c>
    </row>
    <row r="118" spans="2:4" ht="6" customHeight="1" collapsed="1" x14ac:dyDescent="0.15"/>
  </sheetData>
  <mergeCells count="10">
    <mergeCell ref="B24:D24"/>
    <mergeCell ref="B10:D10"/>
    <mergeCell ref="B32:D32"/>
    <mergeCell ref="B43:D43"/>
    <mergeCell ref="B115:D115"/>
    <mergeCell ref="B50:D50"/>
    <mergeCell ref="B64:D64"/>
    <mergeCell ref="B73:D73"/>
    <mergeCell ref="B90:D90"/>
    <mergeCell ref="B104:D104"/>
  </mergeCells>
  <conditionalFormatting sqref="C52:D52 C54:D54 C56:D56 C58:D58 C60:D60">
    <cfRule type="cellIs" dxfId="108" priority="70" stopIfTrue="1" operator="equal">
      <formula>"No"</formula>
    </cfRule>
  </conditionalFormatting>
  <conditionalFormatting sqref="C65:D65 C67:D67 C69:D69">
    <cfRule type="cellIs" dxfId="107" priority="69" stopIfTrue="1" operator="equal">
      <formula>"No"</formula>
    </cfRule>
  </conditionalFormatting>
  <conditionalFormatting sqref="C97">
    <cfRule type="cellIs" dxfId="106" priority="57" stopIfTrue="1" operator="equal">
      <formula>"No"</formula>
    </cfRule>
  </conditionalFormatting>
  <conditionalFormatting sqref="C74">
    <cfRule type="cellIs" dxfId="105" priority="67" stopIfTrue="1" operator="equal">
      <formula>"No"</formula>
    </cfRule>
  </conditionalFormatting>
  <conditionalFormatting sqref="C76">
    <cfRule type="cellIs" dxfId="104" priority="66" stopIfTrue="1" operator="equal">
      <formula>"No"</formula>
    </cfRule>
  </conditionalFormatting>
  <conditionalFormatting sqref="C78">
    <cfRule type="cellIs" dxfId="103" priority="65" stopIfTrue="1" operator="equal">
      <formula>"No"</formula>
    </cfRule>
  </conditionalFormatting>
  <conditionalFormatting sqref="C80">
    <cfRule type="cellIs" dxfId="102" priority="64" stopIfTrue="1" operator="equal">
      <formula>"No"</formula>
    </cfRule>
  </conditionalFormatting>
  <conditionalFormatting sqref="C82">
    <cfRule type="cellIs" dxfId="101" priority="63" stopIfTrue="1" operator="equal">
      <formula>"No"</formula>
    </cfRule>
  </conditionalFormatting>
  <conditionalFormatting sqref="C84">
    <cfRule type="cellIs" dxfId="100" priority="62" stopIfTrue="1" operator="equal">
      <formula>"No"</formula>
    </cfRule>
  </conditionalFormatting>
  <conditionalFormatting sqref="C86">
    <cfRule type="cellIs" dxfId="99" priority="61" stopIfTrue="1" operator="equal">
      <formula>"No"</formula>
    </cfRule>
  </conditionalFormatting>
  <conditionalFormatting sqref="D74">
    <cfRule type="cellIs" dxfId="98" priority="50" stopIfTrue="1" operator="equal">
      <formula>"No"</formula>
    </cfRule>
  </conditionalFormatting>
  <conditionalFormatting sqref="D80">
    <cfRule type="cellIs" dxfId="97" priority="47" stopIfTrue="1" operator="equal">
      <formula>"No"</formula>
    </cfRule>
  </conditionalFormatting>
  <conditionalFormatting sqref="C95">
    <cfRule type="cellIs" dxfId="96" priority="58" stopIfTrue="1" operator="equal">
      <formula>"No"</formula>
    </cfRule>
  </conditionalFormatting>
  <conditionalFormatting sqref="C99">
    <cfRule type="cellIs" dxfId="95" priority="56" stopIfTrue="1" operator="equal">
      <formula>"No"</formula>
    </cfRule>
  </conditionalFormatting>
  <conditionalFormatting sqref="D99">
    <cfRule type="cellIs" dxfId="94" priority="39" stopIfTrue="1" operator="equal">
      <formula>"No"</formula>
    </cfRule>
  </conditionalFormatting>
  <conditionalFormatting sqref="C93">
    <cfRule type="cellIs" dxfId="93" priority="32" stopIfTrue="1" operator="equal">
      <formula>"No"</formula>
    </cfRule>
  </conditionalFormatting>
  <conditionalFormatting sqref="C105 C107 C111">
    <cfRule type="cellIs" dxfId="92" priority="31" stopIfTrue="1" operator="equal">
      <formula>"No"</formula>
    </cfRule>
  </conditionalFormatting>
  <conditionalFormatting sqref="D109">
    <cfRule type="cellIs" dxfId="91" priority="28" stopIfTrue="1" operator="equal">
      <formula>"No"</formula>
    </cfRule>
  </conditionalFormatting>
  <conditionalFormatting sqref="C13:D13">
    <cfRule type="cellIs" dxfId="90" priority="25" stopIfTrue="1" operator="equal">
      <formula>"No"</formula>
    </cfRule>
  </conditionalFormatting>
  <conditionalFormatting sqref="D37">
    <cfRule type="cellIs" dxfId="89" priority="19" stopIfTrue="1" operator="equal">
      <formula>"No"</formula>
    </cfRule>
  </conditionalFormatting>
  <conditionalFormatting sqref="D95">
    <cfRule type="cellIs" dxfId="88" priority="41" stopIfTrue="1" operator="equal">
      <formula>"No"</formula>
    </cfRule>
  </conditionalFormatting>
  <conditionalFormatting sqref="D76">
    <cfRule type="cellIs" dxfId="87" priority="49" stopIfTrue="1" operator="equal">
      <formula>"No"</formula>
    </cfRule>
  </conditionalFormatting>
  <conditionalFormatting sqref="D78">
    <cfRule type="cellIs" dxfId="86" priority="48" stopIfTrue="1" operator="equal">
      <formula>"No"</formula>
    </cfRule>
  </conditionalFormatting>
  <conditionalFormatting sqref="D97">
    <cfRule type="cellIs" dxfId="85" priority="40" stopIfTrue="1" operator="equal">
      <formula>"No"</formula>
    </cfRule>
  </conditionalFormatting>
  <conditionalFormatting sqref="D82">
    <cfRule type="cellIs" dxfId="84" priority="46" stopIfTrue="1" operator="equal">
      <formula>"No"</formula>
    </cfRule>
  </conditionalFormatting>
  <conditionalFormatting sqref="D84">
    <cfRule type="cellIs" dxfId="83" priority="45" stopIfTrue="1" operator="equal">
      <formula>"No"</formula>
    </cfRule>
  </conditionalFormatting>
  <conditionalFormatting sqref="D86">
    <cfRule type="cellIs" dxfId="82" priority="44" stopIfTrue="1" operator="equal">
      <formula>"No"</formula>
    </cfRule>
  </conditionalFormatting>
  <conditionalFormatting sqref="C91">
    <cfRule type="cellIs" dxfId="81" priority="33" stopIfTrue="1" operator="equal">
      <formula>"No"</formula>
    </cfRule>
  </conditionalFormatting>
  <conditionalFormatting sqref="D93">
    <cfRule type="cellIs" dxfId="80" priority="35" stopIfTrue="1" operator="equal">
      <formula>"No"</formula>
    </cfRule>
  </conditionalFormatting>
  <conditionalFormatting sqref="C44 C46">
    <cfRule type="cellIs" dxfId="79" priority="18" stopIfTrue="1" operator="equal">
      <formula>"No"</formula>
    </cfRule>
  </conditionalFormatting>
  <conditionalFormatting sqref="D19">
    <cfRule type="cellIs" dxfId="78" priority="14" stopIfTrue="1" operator="equal">
      <formula>"No"</formula>
    </cfRule>
  </conditionalFormatting>
  <conditionalFormatting sqref="D91">
    <cfRule type="cellIs" dxfId="77" priority="34" stopIfTrue="1" operator="equal">
      <formula>"No"</formula>
    </cfRule>
  </conditionalFormatting>
  <conditionalFormatting sqref="D44 D46">
    <cfRule type="cellIs" dxfId="76" priority="17" stopIfTrue="1" operator="equal">
      <formula>"No"</formula>
    </cfRule>
  </conditionalFormatting>
  <conditionalFormatting sqref="C11:D11">
    <cfRule type="cellIs" dxfId="75" priority="27" stopIfTrue="1" operator="equal">
      <formula>"No"</formula>
    </cfRule>
  </conditionalFormatting>
  <conditionalFormatting sqref="C109">
    <cfRule type="cellIs" dxfId="74" priority="30" stopIfTrue="1" operator="equal">
      <formula>"No"</formula>
    </cfRule>
  </conditionalFormatting>
  <conditionalFormatting sqref="C33 C35 C39">
    <cfRule type="cellIs" dxfId="73" priority="24" stopIfTrue="1" operator="equal">
      <formula>"No"</formula>
    </cfRule>
  </conditionalFormatting>
  <conditionalFormatting sqref="D105 D107 D111">
    <cfRule type="cellIs" dxfId="72" priority="29" stopIfTrue="1" operator="equal">
      <formula>"No"</formula>
    </cfRule>
  </conditionalFormatting>
  <conditionalFormatting sqref="D33 D35 D39">
    <cfRule type="cellIs" dxfId="71" priority="20" stopIfTrue="1" operator="equal">
      <formula>"No"</formula>
    </cfRule>
  </conditionalFormatting>
  <conditionalFormatting sqref="C19">
    <cfRule type="cellIs" dxfId="70" priority="15" stopIfTrue="1" operator="equal">
      <formula>"No"</formula>
    </cfRule>
  </conditionalFormatting>
  <conditionalFormatting sqref="C37">
    <cfRule type="cellIs" dxfId="69" priority="23" stopIfTrue="1" operator="equal">
      <formula>"No"</formula>
    </cfRule>
  </conditionalFormatting>
  <conditionalFormatting sqref="D30">
    <cfRule type="cellIs" dxfId="68" priority="11" stopIfTrue="1" operator="equal">
      <formula>"No"</formula>
    </cfRule>
  </conditionalFormatting>
  <conditionalFormatting sqref="D20">
    <cfRule type="cellIs" dxfId="67" priority="4" stopIfTrue="1" operator="equal">
      <formula>"No"</formula>
    </cfRule>
  </conditionalFormatting>
  <conditionalFormatting sqref="C30">
    <cfRule type="cellIs" dxfId="66" priority="12" stopIfTrue="1" operator="equal">
      <formula>"No"</formula>
    </cfRule>
  </conditionalFormatting>
  <conditionalFormatting sqref="C20">
    <cfRule type="cellIs" dxfId="65" priority="5" stopIfTrue="1" operator="equal">
      <formula>"No"</formula>
    </cfRule>
  </conditionalFormatting>
  <conditionalFormatting sqref="C15">
    <cfRule type="cellIs" dxfId="64" priority="8" operator="equal">
      <formula>"Winner"</formula>
    </cfRule>
    <cfRule type="cellIs" dxfId="63" priority="10" stopIfTrue="1" operator="equal">
      <formula>"No"</formula>
    </cfRule>
  </conditionalFormatting>
  <conditionalFormatting sqref="D15">
    <cfRule type="cellIs" dxfId="62" priority="6" operator="equal">
      <formula>"Winner"</formula>
    </cfRule>
    <cfRule type="cellIs" dxfId="61" priority="7" stopIfTrue="1" operator="equal">
      <formula>"No"</formula>
    </cfRule>
  </conditionalFormatting>
  <conditionalFormatting sqref="D22">
    <cfRule type="cellIs" dxfId="60" priority="1" stopIfTrue="1" operator="equal">
      <formula>"No"</formula>
    </cfRule>
  </conditionalFormatting>
  <conditionalFormatting sqref="C22">
    <cfRule type="cellIs" dxfId="59" priority="3" stopIfTrue="1" operator="equal">
      <formula>"No"</formula>
    </cfRule>
  </conditionalFormatting>
  <dataValidations count="6">
    <dataValidation type="list" showInputMessage="1" showErrorMessage="1" errorTitle="No Force Selected" error="Please select one of the forces from the available forces on the second tab." promptTitle="Second Force" prompt="Select  a Force from the list of available forces (second tab)." sqref="D2" xr:uid="{00000000-0002-0000-0700-000000000000}">
      <formula1>rUnitsNames</formula1>
    </dataValidation>
    <dataValidation type="list" showInputMessage="1" showErrorMessage="1" errorTitle="No Force Selected" error="Please select one of the forces from the available forces on the second tab." promptTitle="First Force" prompt="Select  a Force from the list of available forces (second tab)." sqref="C2" xr:uid="{00000000-0002-0000-0700-000001000000}">
      <formula1>rUnitsNames</formula1>
    </dataValidation>
    <dataValidation type="list" sqref="C74:D74 C60:D60 C69:D69 C52:D52 C54:D54 C56:D56 C58:D58 C65:D65 C67:D67 C76:D76 C78:D78 C80:D80 C82:D82 C84:D84 C91:D91 C99:D99 C95:D95 C97:D97 C86:D86 C93:D93 C105:D105 C107:D107 C109:D109 C111:D111 C11:D11 C44:D44 C13:D13 C35:D35 C37:D37 C39:D39 C33:D33 C46:D46 C19:D19 C30:D30 C15:D15" xr:uid="{00000000-0002-0000-0700-000002000000}">
      <formula1>"Yes,No"</formula1>
    </dataValidation>
    <dataValidation type="list" sqref="C116:D116" xr:uid="{00000000-0002-0000-0700-000003000000}">
      <formula1>"0,1,2,3,4,5"</formula1>
    </dataValidation>
    <dataValidation type="list" allowBlank="1" sqref="C25:D25" xr:uid="{00000000-0002-0000-0700-000004000000}">
      <formula1>tTacticsList</formula1>
    </dataValidation>
    <dataValidation type="list" allowBlank="1" showInputMessage="1" showErrorMessage="1" sqref="C12:D12" xr:uid="{00000000-0002-0000-0700-000005000000}">
      <formula1>"1,2,3,4,5,6,7,8,9,10,11,12,13,14,15,16,17,18,19,20"</formula1>
    </dataValidation>
  </dataValidation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5"/>
  <sheetViews>
    <sheetView tabSelected="1" zoomScale="130" zoomScaleNormal="130" workbookViewId="0">
      <selection activeCell="H29" sqref="H29"/>
    </sheetView>
  </sheetViews>
  <sheetFormatPr baseColWidth="10" defaultColWidth="9.1640625" defaultRowHeight="13" x14ac:dyDescent="0.15"/>
  <cols>
    <col min="1" max="1" width="9.83203125" style="57" customWidth="1"/>
    <col min="2" max="2" width="21.5" style="57" bestFit="1" customWidth="1"/>
    <col min="3" max="3" width="17.5" style="57" bestFit="1" customWidth="1"/>
    <col min="4" max="5" width="9.33203125" style="57" customWidth="1"/>
    <col min="6" max="6" width="12.33203125" style="57" bestFit="1" customWidth="1"/>
    <col min="7" max="7" width="88.83203125" style="57" bestFit="1" customWidth="1"/>
    <col min="8" max="16384" width="9.1640625" style="57"/>
  </cols>
  <sheetData>
    <row r="1" spans="1:9" ht="28" x14ac:dyDescent="0.15">
      <c r="A1" s="57" t="s">
        <v>364</v>
      </c>
      <c r="B1" s="57" t="s">
        <v>366</v>
      </c>
      <c r="C1" s="57" t="s">
        <v>365</v>
      </c>
      <c r="D1" s="57" t="s">
        <v>96</v>
      </c>
      <c r="E1" s="270" t="s">
        <v>369</v>
      </c>
      <c r="F1" s="270" t="s">
        <v>368</v>
      </c>
      <c r="G1" s="271" t="s">
        <v>372</v>
      </c>
    </row>
    <row r="2" spans="1:9" x14ac:dyDescent="0.15">
      <c r="A2" s="278" t="s">
        <v>354</v>
      </c>
      <c r="B2" s="272" t="s">
        <v>358</v>
      </c>
      <c r="C2" s="277" t="s">
        <v>359</v>
      </c>
      <c r="D2" s="272">
        <v>78</v>
      </c>
      <c r="E2" s="274">
        <f>HLOOKUP(G2,tUnitsStats,39,FALSE)</f>
        <v>58</v>
      </c>
      <c r="F2" s="273">
        <v>600</v>
      </c>
      <c r="G2" s="57" t="s">
        <v>349</v>
      </c>
      <c r="I2" s="57">
        <f ca="1">ROUND(Table2[[#This Row],[Troops]]*(100-RANDBETWEEN(1,6))/100,0)</f>
        <v>75</v>
      </c>
    </row>
    <row r="3" spans="1:9" x14ac:dyDescent="0.15">
      <c r="A3" s="278"/>
      <c r="B3" s="272"/>
      <c r="C3" s="277" t="s">
        <v>360</v>
      </c>
      <c r="D3" s="272">
        <v>24</v>
      </c>
      <c r="E3" s="274">
        <f>HLOOKUP(G3,tUnitsStats,39,FALSE)</f>
        <v>96</v>
      </c>
      <c r="F3" s="273">
        <v>200</v>
      </c>
      <c r="G3" s="57" t="s">
        <v>350</v>
      </c>
      <c r="I3" s="57">
        <f ca="1">ROUND(Table2[[#This Row],[Troops]]*(100-RANDBETWEEN(1,6))/100,0)</f>
        <v>24</v>
      </c>
    </row>
    <row r="4" spans="1:9" x14ac:dyDescent="0.15">
      <c r="A4" s="278"/>
      <c r="B4" s="272"/>
      <c r="C4" s="277" t="s">
        <v>362</v>
      </c>
      <c r="D4" s="272">
        <v>9</v>
      </c>
      <c r="E4" s="274">
        <f>HLOOKUP(G4,tUnitsStats,39,FALSE)</f>
        <v>175</v>
      </c>
      <c r="F4" s="273">
        <v>800</v>
      </c>
      <c r="G4" s="57" t="s">
        <v>363</v>
      </c>
      <c r="I4" s="57">
        <f ca="1">ROUND(Table2[[#This Row],[Troops]]*(100-RANDBETWEEN(1,6))/100,0)</f>
        <v>8</v>
      </c>
    </row>
    <row r="5" spans="1:9" x14ac:dyDescent="0.15">
      <c r="A5" s="278"/>
      <c r="B5" s="272" t="s">
        <v>367</v>
      </c>
      <c r="C5" s="272"/>
      <c r="D5" s="272">
        <v>1</v>
      </c>
      <c r="E5" s="274">
        <f>HLOOKUP(G5,tUnitsStats,39,FALSE)</f>
        <v>187</v>
      </c>
      <c r="F5" s="273">
        <v>60</v>
      </c>
      <c r="G5" s="57" t="s">
        <v>330</v>
      </c>
      <c r="I5" s="57">
        <f ca="1">ROUND(Table2[[#This Row],[Troops]]*(100-RANDBETWEEN(1,6))/100,0)</f>
        <v>1</v>
      </c>
    </row>
    <row r="6" spans="1:9" x14ac:dyDescent="0.15">
      <c r="A6" s="278"/>
      <c r="B6" s="272"/>
      <c r="C6" s="272"/>
      <c r="D6" s="272" t="s">
        <v>43</v>
      </c>
      <c r="E6" s="274"/>
      <c r="F6" s="273"/>
    </row>
    <row r="7" spans="1:9" x14ac:dyDescent="0.15">
      <c r="A7" s="278" t="s">
        <v>361</v>
      </c>
      <c r="B7" s="272" t="s">
        <v>374</v>
      </c>
      <c r="C7" s="277" t="s">
        <v>375</v>
      </c>
      <c r="D7" s="272">
        <v>39</v>
      </c>
      <c r="E7" s="274">
        <f t="shared" ref="E7:E13" si="0">HLOOKUP(G7,tUnitsStats,39,FALSE)</f>
        <v>69</v>
      </c>
      <c r="F7" s="273">
        <v>600</v>
      </c>
      <c r="G7" s="57" t="s">
        <v>322</v>
      </c>
      <c r="I7" s="57">
        <f ca="1">ROUND(Table2[[#This Row],[Troops]]*(100-RANDBETWEEN(1,6))/100,0)</f>
        <v>38</v>
      </c>
    </row>
    <row r="8" spans="1:9" x14ac:dyDescent="0.15">
      <c r="A8" s="278"/>
      <c r="B8" s="272" t="s">
        <v>377</v>
      </c>
      <c r="C8" s="277" t="s">
        <v>376</v>
      </c>
      <c r="D8" s="272">
        <v>87</v>
      </c>
      <c r="E8" s="274">
        <f t="shared" si="0"/>
        <v>75</v>
      </c>
      <c r="F8" s="273">
        <v>400</v>
      </c>
      <c r="G8" s="57" t="s">
        <v>326</v>
      </c>
      <c r="I8" s="57">
        <f ca="1">ROUND(Table2[[#This Row],[Troops]]*(100-RANDBETWEEN(1,6))/100,0)</f>
        <v>84</v>
      </c>
    </row>
    <row r="9" spans="1:9" x14ac:dyDescent="0.15">
      <c r="A9" s="278"/>
      <c r="B9" s="272" t="s">
        <v>378</v>
      </c>
      <c r="C9" s="277" t="s">
        <v>370</v>
      </c>
      <c r="D9" s="272">
        <v>394</v>
      </c>
      <c r="E9" s="274">
        <f t="shared" si="0"/>
        <v>92</v>
      </c>
      <c r="F9" s="273">
        <v>2500</v>
      </c>
      <c r="G9" s="57" t="s">
        <v>332</v>
      </c>
      <c r="I9" s="57">
        <f ca="1">ROUND(Table2[[#This Row],[Troops]]*(100-RANDBETWEEN(1,6))/100,0)</f>
        <v>374</v>
      </c>
    </row>
    <row r="10" spans="1:9" x14ac:dyDescent="0.15">
      <c r="A10" s="278"/>
      <c r="B10" s="272"/>
      <c r="C10" s="277" t="s">
        <v>371</v>
      </c>
      <c r="D10" s="272">
        <v>3</v>
      </c>
      <c r="E10" s="274">
        <f t="shared" si="0"/>
        <v>191</v>
      </c>
      <c r="F10" s="273">
        <v>800</v>
      </c>
      <c r="G10" s="57" t="s">
        <v>353</v>
      </c>
      <c r="I10" s="57">
        <f ca="1">ROUND(Table2[[#This Row],[Troops]]*(100-RANDBETWEEN(1,6))/100,0)</f>
        <v>3</v>
      </c>
    </row>
    <row r="11" spans="1:9" x14ac:dyDescent="0.15">
      <c r="A11" s="278"/>
      <c r="B11" s="272" t="s">
        <v>423</v>
      </c>
      <c r="C11" s="277" t="s">
        <v>380</v>
      </c>
      <c r="D11" s="272">
        <v>1557</v>
      </c>
      <c r="E11" s="274">
        <f t="shared" si="0"/>
        <v>28</v>
      </c>
      <c r="F11" s="273">
        <v>2300</v>
      </c>
      <c r="G11" s="57" t="s">
        <v>334</v>
      </c>
      <c r="I11" s="57">
        <f ca="1">ROUND(Table2[[#This Row],[Troops]]*(100-RANDBETWEEN(1,6))/100,0)</f>
        <v>1510</v>
      </c>
    </row>
    <row r="12" spans="1:9" x14ac:dyDescent="0.15">
      <c r="A12" s="278"/>
      <c r="B12" s="272" t="s">
        <v>384</v>
      </c>
      <c r="C12" s="277" t="s">
        <v>431</v>
      </c>
      <c r="D12" s="272">
        <v>117</v>
      </c>
      <c r="E12" s="274">
        <f t="shared" si="0"/>
        <v>124</v>
      </c>
      <c r="F12" s="273">
        <v>1800</v>
      </c>
      <c r="G12" s="57" t="s">
        <v>408</v>
      </c>
      <c r="I12" s="57">
        <f ca="1">ROUND(Table2[[#This Row],[Troops]]*(100-RANDBETWEEN(1,6))/100,0)</f>
        <v>111</v>
      </c>
    </row>
    <row r="13" spans="1:9" x14ac:dyDescent="0.15">
      <c r="A13" s="278"/>
      <c r="B13" s="272"/>
      <c r="C13" s="277" t="s">
        <v>432</v>
      </c>
      <c r="D13" s="272">
        <v>73</v>
      </c>
      <c r="E13" s="274">
        <f t="shared" si="0"/>
        <v>143</v>
      </c>
      <c r="F13" s="273">
        <v>1700</v>
      </c>
      <c r="G13" s="271" t="s">
        <v>399</v>
      </c>
      <c r="I13" s="57">
        <f ca="1">ROUND(Table2[[#This Row],[Troops]]*(100-RANDBETWEEN(1,6))/100,0)</f>
        <v>69</v>
      </c>
    </row>
    <row r="14" spans="1:9" x14ac:dyDescent="0.15">
      <c r="A14" s="278"/>
      <c r="B14" s="272"/>
      <c r="C14" s="277"/>
      <c r="D14" s="272"/>
      <c r="E14" s="275"/>
      <c r="F14" s="276"/>
    </row>
    <row r="15" spans="1:9" x14ac:dyDescent="0.15">
      <c r="A15" s="278" t="s">
        <v>400</v>
      </c>
      <c r="B15" s="272" t="s">
        <v>385</v>
      </c>
      <c r="C15" s="277" t="s">
        <v>385</v>
      </c>
      <c r="D15" s="272">
        <v>137</v>
      </c>
      <c r="E15" s="274">
        <f>HLOOKUP(G15,tUnitsStats,39,FALSE)</f>
        <v>107</v>
      </c>
      <c r="F15" s="273">
        <v>1000</v>
      </c>
      <c r="G15" s="57" t="s">
        <v>405</v>
      </c>
      <c r="I15" s="57">
        <f ca="1">ROUND(Table2[[#This Row],[Troops]]*(100-RANDBETWEEN(1,6))/100,0)</f>
        <v>132</v>
      </c>
    </row>
    <row r="16" spans="1:9" x14ac:dyDescent="0.15">
      <c r="A16" s="278"/>
      <c r="B16" s="272" t="s">
        <v>410</v>
      </c>
      <c r="C16" s="277" t="s">
        <v>404</v>
      </c>
      <c r="D16" s="272">
        <v>10</v>
      </c>
      <c r="E16" s="274">
        <f>HLOOKUP(G16,tUnitsStats,39,FALSE)</f>
        <v>222</v>
      </c>
      <c r="F16" s="273">
        <v>1000</v>
      </c>
      <c r="G16" s="57" t="s">
        <v>401</v>
      </c>
      <c r="I16" s="57">
        <f ca="1">ROUND(Table2[[#This Row],[Troops]]*(100-RANDBETWEEN(1,6))/100,0)</f>
        <v>10</v>
      </c>
    </row>
    <row r="17" spans="1:7" x14ac:dyDescent="0.15">
      <c r="A17" s="278"/>
      <c r="B17" s="272"/>
      <c r="C17" s="272"/>
      <c r="D17" s="272"/>
      <c r="E17" s="274"/>
      <c r="F17" s="273"/>
    </row>
    <row r="18" spans="1:7" x14ac:dyDescent="0.15">
      <c r="A18" s="278" t="s">
        <v>356</v>
      </c>
      <c r="B18" s="272" t="s">
        <v>359</v>
      </c>
      <c r="C18" s="277" t="s">
        <v>386</v>
      </c>
      <c r="D18" s="272">
        <v>6000</v>
      </c>
      <c r="E18" s="274">
        <f t="shared" ref="E18:E24" si="1">HLOOKUP(G18,tUnitsStats,39,FALSE)</f>
        <v>27</v>
      </c>
      <c r="F18" s="273">
        <v>6000</v>
      </c>
      <c r="G18" s="57" t="s">
        <v>259</v>
      </c>
    </row>
    <row r="19" spans="1:7" x14ac:dyDescent="0.15">
      <c r="A19" s="279" t="s">
        <v>412</v>
      </c>
      <c r="B19" s="272" t="s">
        <v>359</v>
      </c>
      <c r="C19" s="277" t="s">
        <v>387</v>
      </c>
      <c r="D19" s="272">
        <v>1500</v>
      </c>
      <c r="E19" s="274">
        <f t="shared" si="1"/>
        <v>42</v>
      </c>
      <c r="F19" s="273">
        <v>2500</v>
      </c>
      <c r="G19" s="57" t="s">
        <v>318</v>
      </c>
    </row>
    <row r="20" spans="1:7" x14ac:dyDescent="0.15">
      <c r="A20" s="279" t="s">
        <v>413</v>
      </c>
      <c r="B20" s="272" t="s">
        <v>409</v>
      </c>
      <c r="C20" s="277" t="s">
        <v>388</v>
      </c>
      <c r="D20" s="272">
        <v>250</v>
      </c>
      <c r="E20" s="274">
        <f t="shared" si="1"/>
        <v>84</v>
      </c>
      <c r="F20" s="273">
        <v>1000</v>
      </c>
      <c r="G20" s="57" t="s">
        <v>244</v>
      </c>
    </row>
    <row r="21" spans="1:7" x14ac:dyDescent="0.15">
      <c r="A21" s="279" t="s">
        <v>414</v>
      </c>
      <c r="B21" s="272" t="s">
        <v>385</v>
      </c>
      <c r="C21" s="277" t="s">
        <v>389</v>
      </c>
      <c r="D21" s="272">
        <v>100</v>
      </c>
      <c r="E21" s="274">
        <f t="shared" si="1"/>
        <v>166</v>
      </c>
      <c r="F21" s="273">
        <v>4000</v>
      </c>
      <c r="G21" s="57" t="s">
        <v>254</v>
      </c>
    </row>
    <row r="22" spans="1:7" x14ac:dyDescent="0.15">
      <c r="A22" s="279" t="s">
        <v>415</v>
      </c>
      <c r="B22" s="272" t="s">
        <v>395</v>
      </c>
      <c r="C22" s="277" t="s">
        <v>395</v>
      </c>
      <c r="D22" s="272">
        <v>100</v>
      </c>
      <c r="E22" s="274">
        <f t="shared" si="1"/>
        <v>106</v>
      </c>
      <c r="F22" s="273">
        <v>650</v>
      </c>
      <c r="G22" s="57" t="s">
        <v>286</v>
      </c>
    </row>
    <row r="23" spans="1:7" x14ac:dyDescent="0.15">
      <c r="A23" s="279" t="s">
        <v>416</v>
      </c>
      <c r="B23" s="272" t="s">
        <v>396</v>
      </c>
      <c r="C23" s="277" t="s">
        <v>396</v>
      </c>
      <c r="D23" s="272">
        <v>10</v>
      </c>
      <c r="E23" s="274">
        <f t="shared" si="1"/>
        <v>175</v>
      </c>
      <c r="F23" s="273">
        <v>500</v>
      </c>
      <c r="G23" s="57" t="s">
        <v>287</v>
      </c>
    </row>
    <row r="24" spans="1:7" x14ac:dyDescent="0.15">
      <c r="A24" s="279" t="s">
        <v>417</v>
      </c>
      <c r="B24" s="272" t="s">
        <v>397</v>
      </c>
      <c r="C24" s="277" t="s">
        <v>397</v>
      </c>
      <c r="D24" s="272">
        <v>10</v>
      </c>
      <c r="E24" s="274">
        <f t="shared" si="1"/>
        <v>272</v>
      </c>
      <c r="F24" s="276">
        <v>1500</v>
      </c>
      <c r="G24" s="57" t="s">
        <v>288</v>
      </c>
    </row>
    <row r="25" spans="1:7" x14ac:dyDescent="0.15">
      <c r="A25" s="278"/>
      <c r="B25" s="272"/>
      <c r="C25" s="272"/>
      <c r="D25" s="272"/>
      <c r="E25" s="275"/>
      <c r="F25" s="276"/>
    </row>
    <row r="26" spans="1:7" x14ac:dyDescent="0.15">
      <c r="A26" s="278" t="s">
        <v>355</v>
      </c>
      <c r="B26" s="272" t="s">
        <v>359</v>
      </c>
      <c r="C26" s="277" t="s">
        <v>386</v>
      </c>
      <c r="D26" s="272">
        <v>4000</v>
      </c>
      <c r="E26" s="274">
        <f t="shared" ref="E26:E32" si="2">HLOOKUP(G26,tUnitsStats,39,FALSE)</f>
        <v>27</v>
      </c>
      <c r="F26" s="273">
        <v>4000</v>
      </c>
      <c r="G26" s="57" t="s">
        <v>259</v>
      </c>
    </row>
    <row r="27" spans="1:7" x14ac:dyDescent="0.15">
      <c r="A27" s="279" t="s">
        <v>418</v>
      </c>
      <c r="B27" s="272" t="s">
        <v>359</v>
      </c>
      <c r="C27" s="277" t="s">
        <v>387</v>
      </c>
      <c r="D27" s="272">
        <v>1500</v>
      </c>
      <c r="E27" s="274">
        <f t="shared" si="2"/>
        <v>42</v>
      </c>
      <c r="F27" s="273">
        <v>2500</v>
      </c>
      <c r="G27" s="57" t="s">
        <v>318</v>
      </c>
    </row>
    <row r="28" spans="1:7" x14ac:dyDescent="0.15">
      <c r="A28" s="279" t="s">
        <v>419</v>
      </c>
      <c r="B28" s="272" t="s">
        <v>409</v>
      </c>
      <c r="C28" s="277" t="s">
        <v>388</v>
      </c>
      <c r="D28" s="272">
        <v>250</v>
      </c>
      <c r="E28" s="274">
        <f t="shared" si="2"/>
        <v>84</v>
      </c>
      <c r="F28" s="273">
        <v>1000</v>
      </c>
      <c r="G28" s="57" t="s">
        <v>244</v>
      </c>
    </row>
    <row r="29" spans="1:7" x14ac:dyDescent="0.15">
      <c r="A29" s="279" t="s">
        <v>420</v>
      </c>
      <c r="B29" s="272" t="s">
        <v>385</v>
      </c>
      <c r="C29" s="277" t="s">
        <v>398</v>
      </c>
      <c r="D29" s="272">
        <v>600</v>
      </c>
      <c r="E29" s="274">
        <f t="shared" si="2"/>
        <v>95</v>
      </c>
      <c r="F29" s="273">
        <v>3000</v>
      </c>
      <c r="G29" s="57" t="s">
        <v>249</v>
      </c>
    </row>
    <row r="30" spans="1:7" x14ac:dyDescent="0.15">
      <c r="A30" s="279" t="s">
        <v>421</v>
      </c>
      <c r="B30" s="272" t="s">
        <v>395</v>
      </c>
      <c r="C30" s="277" t="s">
        <v>395</v>
      </c>
      <c r="D30" s="272">
        <v>50</v>
      </c>
      <c r="E30" s="274">
        <f t="shared" si="2"/>
        <v>106</v>
      </c>
      <c r="F30" s="273">
        <v>350</v>
      </c>
      <c r="G30" s="57" t="s">
        <v>286</v>
      </c>
    </row>
    <row r="31" spans="1:7" x14ac:dyDescent="0.15">
      <c r="A31" s="279" t="s">
        <v>422</v>
      </c>
      <c r="B31" s="272" t="s">
        <v>396</v>
      </c>
      <c r="C31" s="277" t="s">
        <v>396</v>
      </c>
      <c r="D31" s="272">
        <v>30</v>
      </c>
      <c r="E31" s="274">
        <f t="shared" si="2"/>
        <v>175</v>
      </c>
      <c r="F31" s="273">
        <v>1500</v>
      </c>
      <c r="G31" s="57" t="s">
        <v>287</v>
      </c>
    </row>
    <row r="32" spans="1:7" x14ac:dyDescent="0.15">
      <c r="A32" s="279"/>
      <c r="B32" s="272" t="s">
        <v>397</v>
      </c>
      <c r="C32" s="277" t="s">
        <v>397</v>
      </c>
      <c r="D32" s="272">
        <v>5</v>
      </c>
      <c r="E32" s="274">
        <f t="shared" si="2"/>
        <v>272</v>
      </c>
      <c r="F32" s="276">
        <v>500</v>
      </c>
      <c r="G32" s="57" t="s">
        <v>288</v>
      </c>
    </row>
    <row r="33" spans="1:7" x14ac:dyDescent="0.15">
      <c r="A33" s="278"/>
      <c r="B33" s="272"/>
      <c r="C33" s="277"/>
      <c r="D33" s="272"/>
      <c r="E33" s="274"/>
      <c r="F33" s="273"/>
    </row>
    <row r="34" spans="1:7" x14ac:dyDescent="0.15">
      <c r="A34" s="278" t="s">
        <v>357</v>
      </c>
      <c r="B34" s="272" t="s">
        <v>359</v>
      </c>
      <c r="C34" s="277" t="s">
        <v>390</v>
      </c>
      <c r="D34" s="272">
        <v>10000</v>
      </c>
      <c r="E34" s="274">
        <f t="shared" ref="E34:E39" si="3">HLOOKUP(G34,tUnitsStats,39,FALSE)</f>
        <v>25</v>
      </c>
      <c r="F34" s="273">
        <v>10000</v>
      </c>
      <c r="G34" s="57" t="s">
        <v>261</v>
      </c>
    </row>
    <row r="35" spans="1:7" x14ac:dyDescent="0.15">
      <c r="A35" s="278"/>
      <c r="B35" s="272" t="s">
        <v>359</v>
      </c>
      <c r="C35" s="277" t="s">
        <v>391</v>
      </c>
      <c r="D35" s="272">
        <v>3000</v>
      </c>
      <c r="E35" s="274">
        <f t="shared" si="3"/>
        <v>42</v>
      </c>
      <c r="F35" s="273">
        <v>5000</v>
      </c>
      <c r="G35" s="57" t="s">
        <v>267</v>
      </c>
    </row>
    <row r="36" spans="1:7" x14ac:dyDescent="0.15">
      <c r="A36" s="278"/>
      <c r="B36" s="272" t="s">
        <v>359</v>
      </c>
      <c r="C36" s="277" t="s">
        <v>392</v>
      </c>
      <c r="D36" s="272">
        <v>500</v>
      </c>
      <c r="E36" s="274">
        <f t="shared" si="3"/>
        <v>68</v>
      </c>
      <c r="F36" s="273">
        <v>1500</v>
      </c>
      <c r="G36" s="57" t="s">
        <v>270</v>
      </c>
    </row>
    <row r="37" spans="1:7" x14ac:dyDescent="0.15">
      <c r="A37" s="278"/>
      <c r="B37" s="272" t="s">
        <v>359</v>
      </c>
      <c r="C37" s="277" t="s">
        <v>393</v>
      </c>
      <c r="D37" s="272">
        <v>350</v>
      </c>
      <c r="E37" s="274">
        <f t="shared" si="3"/>
        <v>101</v>
      </c>
      <c r="F37" s="276">
        <v>2000</v>
      </c>
      <c r="G37" s="57" t="s">
        <v>272</v>
      </c>
    </row>
    <row r="38" spans="1:7" x14ac:dyDescent="0.15">
      <c r="A38" s="278"/>
      <c r="B38" s="272" t="s">
        <v>385</v>
      </c>
      <c r="C38" s="277" t="s">
        <v>275</v>
      </c>
      <c r="D38" s="272">
        <v>400</v>
      </c>
      <c r="E38" s="274">
        <f t="shared" si="3"/>
        <v>107</v>
      </c>
      <c r="F38" s="276">
        <v>2500</v>
      </c>
      <c r="G38" s="57" t="s">
        <v>282</v>
      </c>
    </row>
    <row r="39" spans="1:7" x14ac:dyDescent="0.15">
      <c r="A39" s="278"/>
      <c r="B39" s="272" t="s">
        <v>411</v>
      </c>
      <c r="C39" s="277" t="s">
        <v>394</v>
      </c>
      <c r="D39" s="272">
        <v>150</v>
      </c>
      <c r="E39" s="274">
        <f t="shared" si="3"/>
        <v>145</v>
      </c>
      <c r="F39" s="273">
        <v>3000</v>
      </c>
      <c r="G39" s="57" t="s">
        <v>281</v>
      </c>
    </row>
    <row r="40" spans="1:7" x14ac:dyDescent="0.15">
      <c r="A40" s="278"/>
      <c r="B40" s="272"/>
      <c r="C40" s="272"/>
      <c r="D40" s="272"/>
      <c r="E40" s="274"/>
      <c r="F40" s="273"/>
    </row>
    <row r="41" spans="1:7" x14ac:dyDescent="0.15">
      <c r="A41" s="278" t="s">
        <v>426</v>
      </c>
      <c r="B41" s="272" t="s">
        <v>381</v>
      </c>
      <c r="C41" s="277" t="s">
        <v>383</v>
      </c>
      <c r="D41" s="272">
        <v>89</v>
      </c>
      <c r="E41" s="274">
        <f>HLOOKUP(G41,tUnitsStats,39,FALSE)</f>
        <v>137</v>
      </c>
      <c r="F41" s="273">
        <v>5000</v>
      </c>
      <c r="G41" s="57" t="s">
        <v>335</v>
      </c>
    </row>
    <row r="42" spans="1:7" x14ac:dyDescent="0.15">
      <c r="A42" s="278"/>
      <c r="B42" s="272"/>
      <c r="C42" s="277"/>
      <c r="D42" s="272"/>
      <c r="E42" s="275"/>
      <c r="F42" s="276"/>
    </row>
    <row r="43" spans="1:7" x14ac:dyDescent="0.15">
      <c r="A43" s="278" t="s">
        <v>425</v>
      </c>
      <c r="B43" s="272" t="s">
        <v>424</v>
      </c>
      <c r="C43" s="277" t="s">
        <v>382</v>
      </c>
      <c r="D43" s="272">
        <v>800</v>
      </c>
      <c r="E43" s="274">
        <f>HLOOKUP(G43,tUnitsStats,39,FALSE)</f>
        <v>44</v>
      </c>
      <c r="F43" s="273">
        <v>1500</v>
      </c>
      <c r="G43" s="57" t="s">
        <v>352</v>
      </c>
    </row>
    <row r="44" spans="1:7" x14ac:dyDescent="0.15">
      <c r="A44" s="278"/>
      <c r="B44" s="272" t="s">
        <v>373</v>
      </c>
      <c r="C44" s="277" t="s">
        <v>379</v>
      </c>
      <c r="D44" s="272">
        <v>121</v>
      </c>
      <c r="E44" s="274">
        <f t="shared" ref="E44:E45" si="4">HLOOKUP(G44,tUnitsStats,39,FALSE)</f>
        <v>109</v>
      </c>
      <c r="F44" s="273">
        <v>2000</v>
      </c>
      <c r="G44" s="57" t="s">
        <v>333</v>
      </c>
    </row>
    <row r="45" spans="1:7" x14ac:dyDescent="0.15">
      <c r="A45" s="278"/>
      <c r="B45" s="272"/>
      <c r="C45" s="277" t="s">
        <v>427</v>
      </c>
      <c r="D45" s="272">
        <v>384</v>
      </c>
      <c r="E45" s="274">
        <f t="shared" si="4"/>
        <v>50</v>
      </c>
      <c r="F45" s="273">
        <v>750</v>
      </c>
      <c r="G45" s="57" t="s">
        <v>428</v>
      </c>
    </row>
  </sheetData>
  <dataValidations count="1">
    <dataValidation type="list" showInputMessage="1" showErrorMessage="1" errorTitle="No Force Selected" error="Please select one of the forces from the available forces on the second tab." promptTitle="First Force" prompt="Select  a Force from the list of available forces (second tab)." sqref="G2:G5 G34:G39 G18:G24 G26:G32 G43:G45 G41 G15:G16 G7:G13" xr:uid="{00000000-0002-0000-0900-000000000000}">
      <formula1>rUnitsNames</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32</vt:i4>
      </vt:variant>
    </vt:vector>
  </HeadingPairs>
  <TitlesOfParts>
    <vt:vector size="45" baseType="lpstr">
      <vt:lpstr>Homebrew</vt:lpstr>
      <vt:lpstr>Units</vt:lpstr>
      <vt:lpstr>Forces</vt:lpstr>
      <vt:lpstr>Computations</vt:lpstr>
      <vt:lpstr>MadCaps-Wererats</vt:lpstr>
      <vt:lpstr>Machines-Wererats</vt:lpstr>
      <vt:lpstr>77th Cavalry</vt:lpstr>
      <vt:lpstr>Main</vt:lpstr>
      <vt:lpstr>Avernus</vt:lpstr>
      <vt:lpstr>Test</vt:lpstr>
      <vt:lpstr>Tables</vt:lpstr>
      <vt:lpstr>Old</vt:lpstr>
      <vt:lpstr>Units (Old)</vt:lpstr>
      <vt:lpstr>'77th Cavalry'!cForce1</vt:lpstr>
      <vt:lpstr>'Machines-Wererats'!cForce1</vt:lpstr>
      <vt:lpstr>'MadCaps-Wererats'!cForce1</vt:lpstr>
      <vt:lpstr>Test!cForce1</vt:lpstr>
      <vt:lpstr>cForce1</vt:lpstr>
      <vt:lpstr>'77th Cavalry'!cForce2</vt:lpstr>
      <vt:lpstr>'Machines-Wererats'!cForce2</vt:lpstr>
      <vt:lpstr>'MadCaps-Wererats'!cForce2</vt:lpstr>
      <vt:lpstr>Test!cForce2</vt:lpstr>
      <vt:lpstr>cForce2</vt:lpstr>
      <vt:lpstr>'77th Cavalry'!cNumTroops1</vt:lpstr>
      <vt:lpstr>'Machines-Wererats'!cNumTroops1</vt:lpstr>
      <vt:lpstr>'MadCaps-Wererats'!cNumTroops1</vt:lpstr>
      <vt:lpstr>Test!cNumTroops1</vt:lpstr>
      <vt:lpstr>cNumTroops1</vt:lpstr>
      <vt:lpstr>'77th Cavalry'!cNumTroops2</vt:lpstr>
      <vt:lpstr>'Machines-Wererats'!cNumTroops2</vt:lpstr>
      <vt:lpstr>'MadCaps-Wererats'!cNumTroops2</vt:lpstr>
      <vt:lpstr>Test!cNumTroops2</vt:lpstr>
      <vt:lpstr>cNumTroops2</vt:lpstr>
      <vt:lpstr>rUnitsNames</vt:lpstr>
      <vt:lpstr>tCombatResults</vt:lpstr>
      <vt:lpstr>tLocationResults</vt:lpstr>
      <vt:lpstr>tPercentBattleRating</vt:lpstr>
      <vt:lpstr>tPercentOfficers</vt:lpstr>
      <vt:lpstr>tRatio</vt:lpstr>
      <vt:lpstr>tTacticsBonus</vt:lpstr>
      <vt:lpstr>tTacticsCasualties</vt:lpstr>
      <vt:lpstr>tTacticsEffects</vt:lpstr>
      <vt:lpstr>tTacticsList</vt:lpstr>
      <vt:lpstr>tTroopClass</vt:lpstr>
      <vt:lpstr>tUnitsStats</vt:lpstr>
    </vt:vector>
  </TitlesOfParts>
  <Company>AIRSYS ATM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Krait</dc:creator>
  <cp:lastModifiedBy>Philippe Krait</cp:lastModifiedBy>
  <dcterms:created xsi:type="dcterms:W3CDTF">2001-07-20T07:20:34Z</dcterms:created>
  <dcterms:modified xsi:type="dcterms:W3CDTF">2021-12-18T13:55:17Z</dcterms:modified>
</cp:coreProperties>
</file>