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style6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7530" tabRatio="827"/>
  </bookViews>
  <sheets>
    <sheet name="Отчет" sheetId="18" r:id="rId1"/>
    <sheet name="база" sheetId="5" r:id="rId2"/>
    <sheet name="Таблица" sheetId="9" r:id="rId3"/>
    <sheet name="Доходы" sheetId="15" r:id="rId4"/>
    <sheet name="ЧистПриб" sheetId="16" r:id="rId5"/>
    <sheet name="Рент" sheetId="17" r:id="rId6"/>
  </sheets>
  <definedNames>
    <definedName name="база">база!$F$3:$AP$50</definedName>
    <definedName name="ВыборДат">Отчет!$N$2</definedName>
    <definedName name="дата">база!$F$2:$AP$2</definedName>
    <definedName name="делитель" localSheetId="3">Доходы!$C$6</definedName>
    <definedName name="делитель" localSheetId="5">Рент!$C$6</definedName>
    <definedName name="делитель" localSheetId="2">Таблица!$J$6</definedName>
    <definedName name="делитель" localSheetId="4">ЧистПриб!$C$6</definedName>
    <definedName name="Детали">#REF!</definedName>
    <definedName name="код">база!$E$3:$E$50</definedName>
    <definedName name="название" localSheetId="3">Доходы!$C$4</definedName>
    <definedName name="название" localSheetId="5">Рент!$C$4</definedName>
    <definedName name="название" localSheetId="2">Таблица!$J$4</definedName>
    <definedName name="название" localSheetId="4">ЧистПриб!$C$4</definedName>
    <definedName name="название">#REF!</definedName>
    <definedName name="Пустота">#REF!</definedName>
    <definedName name="размерность" localSheetId="3">Доходы!$C$5</definedName>
    <definedName name="размерность" localSheetId="5">Рент!$C$5</definedName>
    <definedName name="размерность" localSheetId="2">Таблица!$J$5</definedName>
    <definedName name="размерность" localSheetId="4">ЧистПриб!$C$5</definedName>
    <definedName name="Статьи">#REF!</definedName>
    <definedName name="Структура">#REF!</definedName>
    <definedName name="Экран" localSheetId="5">CHOOSE(Рент!$I$37,[0]!Структура,[0]!Статьи)</definedName>
    <definedName name="Экран" localSheetId="4">CHOOSE(ЧистПриб!$I$37,[0]!Структура,[0]!Статьи)</definedName>
    <definedName name="Экран">CHOOSE(Детали+1,Пустота,Структура,Статьи)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9"/>
  <c r="O10" i="15"/>
  <c r="O10" i="16"/>
  <c r="O21" s="1"/>
  <c r="O10" i="17"/>
  <c r="N10" s="1"/>
  <c r="N23" s="1"/>
  <c r="D21" i="5"/>
  <c r="O23" i="16"/>
  <c r="C11"/>
  <c r="O12"/>
  <c r="O13"/>
  <c r="O16"/>
  <c r="O14"/>
  <c r="O15"/>
  <c r="O17"/>
  <c r="O23" i="17" l="1"/>
  <c r="O21"/>
  <c r="N10" i="16"/>
  <c r="N21" s="1"/>
  <c r="O22" s="1"/>
  <c r="M10" i="17"/>
  <c r="N21"/>
  <c r="O25" i="16"/>
  <c r="N12"/>
  <c r="N14"/>
  <c r="N13"/>
  <c r="N15"/>
  <c r="N17"/>
  <c r="O22" i="17" l="1"/>
  <c r="N23" i="16"/>
  <c r="M10"/>
  <c r="M23" i="17"/>
  <c r="M21"/>
  <c r="N22" s="1"/>
  <c r="L10"/>
  <c r="M13" i="16"/>
  <c r="M14"/>
  <c r="N16"/>
  <c r="M12"/>
  <c r="M15"/>
  <c r="N25" l="1"/>
  <c r="M23"/>
  <c r="M21"/>
  <c r="N22" s="1"/>
  <c r="L10"/>
  <c r="K10" i="17"/>
  <c r="L23"/>
  <c r="L21"/>
  <c r="M22" s="1"/>
  <c r="M17" i="16"/>
  <c r="L17"/>
  <c r="L15"/>
  <c r="L13"/>
  <c r="L12"/>
  <c r="L16"/>
  <c r="L14"/>
  <c r="M16"/>
  <c r="M25" l="1"/>
  <c r="L25"/>
  <c r="L21"/>
  <c r="M22" s="1"/>
  <c r="L23"/>
  <c r="K10"/>
  <c r="J10" i="17"/>
  <c r="K23"/>
  <c r="K21"/>
  <c r="L22" s="1"/>
  <c r="K14" i="16"/>
  <c r="K15"/>
  <c r="K17"/>
  <c r="K12"/>
  <c r="K13"/>
  <c r="K16"/>
  <c r="K25" l="1"/>
  <c r="J10"/>
  <c r="K23"/>
  <c r="K21"/>
  <c r="L22" s="1"/>
  <c r="J23" i="17"/>
  <c r="J21"/>
  <c r="K22" s="1"/>
  <c r="I10"/>
  <c r="J16" i="16"/>
  <c r="J14"/>
  <c r="J13"/>
  <c r="J15"/>
  <c r="J12"/>
  <c r="J17"/>
  <c r="J25" l="1"/>
  <c r="J21"/>
  <c r="K22" s="1"/>
  <c r="I10"/>
  <c r="J23"/>
  <c r="I23" i="17"/>
  <c r="I21"/>
  <c r="J22" s="1"/>
  <c r="H10"/>
  <c r="I16" i="16"/>
  <c r="I14"/>
  <c r="I17"/>
  <c r="I15"/>
  <c r="I12"/>
  <c r="I13"/>
  <c r="I25" l="1"/>
  <c r="I23"/>
  <c r="I21"/>
  <c r="J22" s="1"/>
  <c r="H10"/>
  <c r="G10" i="17"/>
  <c r="H23"/>
  <c r="H21"/>
  <c r="I22" s="1"/>
  <c r="H16" i="16"/>
  <c r="H12"/>
  <c r="H13"/>
  <c r="H14"/>
  <c r="H17"/>
  <c r="H15"/>
  <c r="H25" l="1"/>
  <c r="H23"/>
  <c r="H21"/>
  <c r="I22" s="1"/>
  <c r="G10"/>
  <c r="F10" i="17"/>
  <c r="G23"/>
  <c r="G21"/>
  <c r="H22" s="1"/>
  <c r="G16" i="16"/>
  <c r="G13"/>
  <c r="G12"/>
  <c r="G15"/>
  <c r="G14"/>
  <c r="G17"/>
  <c r="G25" l="1"/>
  <c r="F10"/>
  <c r="G21"/>
  <c r="H22" s="1"/>
  <c r="G23"/>
  <c r="F23" i="17"/>
  <c r="F21"/>
  <c r="G22" s="1"/>
  <c r="E10"/>
  <c r="F16" i="16"/>
  <c r="F17"/>
  <c r="F15"/>
  <c r="F12"/>
  <c r="F14"/>
  <c r="F13"/>
  <c r="F25" l="1"/>
  <c r="E10"/>
  <c r="F23"/>
  <c r="F21"/>
  <c r="G22" s="1"/>
  <c r="E23" i="17"/>
  <c r="E21"/>
  <c r="F22" s="1"/>
  <c r="D10"/>
  <c r="E14" i="16"/>
  <c r="E17"/>
  <c r="E16"/>
  <c r="E12"/>
  <c r="E13"/>
  <c r="E15"/>
  <c r="E25" l="1"/>
  <c r="D10"/>
  <c r="E21"/>
  <c r="F22" s="1"/>
  <c r="E23"/>
  <c r="D23" i="17"/>
  <c r="D21"/>
  <c r="D15" i="16"/>
  <c r="D17"/>
  <c r="D16"/>
  <c r="D12"/>
  <c r="D14"/>
  <c r="D13"/>
  <c r="D25" l="1"/>
  <c r="D23"/>
  <c r="D21"/>
  <c r="E22" i="17"/>
  <c r="D22"/>
  <c r="E22" i="16" l="1"/>
  <c r="D22"/>
  <c r="AD8" i="5" l="1"/>
  <c r="AE8"/>
  <c r="AF8"/>
  <c r="AG8"/>
  <c r="Z9"/>
  <c r="AA9"/>
  <c r="AB9"/>
  <c r="AH8"/>
  <c r="AI8"/>
  <c r="AJ8"/>
  <c r="AK8"/>
  <c r="AL8"/>
  <c r="AM8"/>
  <c r="AN8"/>
  <c r="AO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O18" i="15"/>
  <c r="O16"/>
  <c r="C11"/>
  <c r="N10"/>
  <c r="N18" s="1"/>
  <c r="O12"/>
  <c r="M10" l="1"/>
  <c r="L10" s="1"/>
  <c r="L16" s="1"/>
  <c r="O20"/>
  <c r="O25" i="17" s="1"/>
  <c r="N16" i="15"/>
  <c r="O17" s="1"/>
  <c r="L12"/>
  <c r="M12"/>
  <c r="N12"/>
  <c r="M18" l="1"/>
  <c r="L18"/>
  <c r="M16"/>
  <c r="M17" s="1"/>
  <c r="K10"/>
  <c r="L20"/>
  <c r="L25" i="17" s="1"/>
  <c r="N20" i="15"/>
  <c r="N25" i="17" s="1"/>
  <c r="M20" i="15"/>
  <c r="M25" i="17" s="1"/>
  <c r="K12" i="15"/>
  <c r="K18" l="1"/>
  <c r="N17"/>
  <c r="K16"/>
  <c r="L17" s="1"/>
  <c r="J10"/>
  <c r="K20"/>
  <c r="K25" i="17" s="1"/>
  <c r="V14" i="9"/>
  <c r="V16"/>
  <c r="V13"/>
  <c r="J12" i="15"/>
  <c r="V12" i="9"/>
  <c r="V15"/>
  <c r="J16" i="15" l="1"/>
  <c r="K17" s="1"/>
  <c r="J18"/>
  <c r="I10"/>
  <c r="J20"/>
  <c r="J25" i="17" s="1"/>
  <c r="I12" i="15"/>
  <c r="I18" l="1"/>
  <c r="I16"/>
  <c r="J17" s="1"/>
  <c r="H10"/>
  <c r="I20"/>
  <c r="I25" i="17" s="1"/>
  <c r="V26" i="9"/>
  <c r="V25"/>
  <c r="V22"/>
  <c r="V20"/>
  <c r="J11"/>
  <c r="U10"/>
  <c r="U13"/>
  <c r="H12" i="15"/>
  <c r="U14" i="9"/>
  <c r="U15"/>
  <c r="U12"/>
  <c r="U16"/>
  <c r="G10" i="15" l="1"/>
  <c r="H18"/>
  <c r="H16"/>
  <c r="I17" s="1"/>
  <c r="H20"/>
  <c r="H25" i="17" s="1"/>
  <c r="G18" i="15"/>
  <c r="U22" i="9"/>
  <c r="V24"/>
  <c r="T10"/>
  <c r="U20"/>
  <c r="V21" s="1"/>
  <c r="G1" i="5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F1"/>
  <c r="T15" i="9"/>
  <c r="G12" i="15"/>
  <c r="T14" i="9"/>
  <c r="T12"/>
  <c r="T16"/>
  <c r="T13"/>
  <c r="G16" i="15" l="1"/>
  <c r="H17" s="1"/>
  <c r="F10"/>
  <c r="F18" s="1"/>
  <c r="S10" i="9"/>
  <c r="R10" s="1"/>
  <c r="G20" i="15"/>
  <c r="G25" i="17" s="1"/>
  <c r="U25" i="9"/>
  <c r="T20"/>
  <c r="U21" s="1"/>
  <c r="U26"/>
  <c r="T22"/>
  <c r="T24"/>
  <c r="U24"/>
  <c r="S22"/>
  <c r="F8" i="5"/>
  <c r="F21" s="1"/>
  <c r="G8"/>
  <c r="G21" s="1"/>
  <c r="H8"/>
  <c r="H21" s="1"/>
  <c r="I8"/>
  <c r="I21" s="1"/>
  <c r="J8"/>
  <c r="J21" s="1"/>
  <c r="K8"/>
  <c r="K21" s="1"/>
  <c r="L8"/>
  <c r="L21" s="1"/>
  <c r="M8"/>
  <c r="M21" s="1"/>
  <c r="N8"/>
  <c r="N21" s="1"/>
  <c r="O8"/>
  <c r="O21" s="1"/>
  <c r="P8"/>
  <c r="P21" s="1"/>
  <c r="D11" i="16" s="1"/>
  <c r="D24" s="1"/>
  <c r="D26" s="1"/>
  <c r="Q8" i="5"/>
  <c r="Q21" s="1"/>
  <c r="E11" i="16" s="1"/>
  <c r="E24" s="1"/>
  <c r="E26" s="1"/>
  <c r="R8" i="5"/>
  <c r="R21" s="1"/>
  <c r="F11" i="16" s="1"/>
  <c r="F24" s="1"/>
  <c r="F26" s="1"/>
  <c r="S8" i="5"/>
  <c r="S21" s="1"/>
  <c r="G11" i="16" s="1"/>
  <c r="G24" s="1"/>
  <c r="G26" s="1"/>
  <c r="T8" i="5"/>
  <c r="U8"/>
  <c r="V8"/>
  <c r="W8"/>
  <c r="X8"/>
  <c r="Y8"/>
  <c r="Z8"/>
  <c r="AA8"/>
  <c r="AB8"/>
  <c r="AB21" s="1"/>
  <c r="AC8"/>
  <c r="R16" i="9"/>
  <c r="R12"/>
  <c r="R14"/>
  <c r="S14"/>
  <c r="F12" i="15"/>
  <c r="S13" i="9"/>
  <c r="S16"/>
  <c r="R15"/>
  <c r="S15"/>
  <c r="R13"/>
  <c r="S12"/>
  <c r="S20" l="1"/>
  <c r="F11" i="15"/>
  <c r="F13" s="1"/>
  <c r="F21" s="1"/>
  <c r="AF9" i="5"/>
  <c r="AK9"/>
  <c r="AL9"/>
  <c r="AJ9"/>
  <c r="AO9"/>
  <c r="AE9"/>
  <c r="AA21"/>
  <c r="O11" i="16" s="1"/>
  <c r="O24" s="1"/>
  <c r="O26" s="1"/>
  <c r="O11" i="15"/>
  <c r="W21" i="5"/>
  <c r="K11" i="16" s="1"/>
  <c r="K24" s="1"/>
  <c r="K26" s="1"/>
  <c r="K11" i="15"/>
  <c r="G11"/>
  <c r="G19" s="1"/>
  <c r="G24" i="17" s="1"/>
  <c r="G26" s="1"/>
  <c r="AN9" i="5"/>
  <c r="AD9"/>
  <c r="AI9"/>
  <c r="AC9"/>
  <c r="AC21"/>
  <c r="Y21"/>
  <c r="M11" i="16" s="1"/>
  <c r="M24" s="1"/>
  <c r="M26" s="1"/>
  <c r="M11" i="15"/>
  <c r="U21" i="5"/>
  <c r="I11" i="16" s="1"/>
  <c r="I24" s="1"/>
  <c r="I26" s="1"/>
  <c r="I11" i="15"/>
  <c r="X21" i="5"/>
  <c r="L11" i="16" s="1"/>
  <c r="L24" s="1"/>
  <c r="L26" s="1"/>
  <c r="L11" i="15"/>
  <c r="T21" i="5"/>
  <c r="H11" i="16" s="1"/>
  <c r="H24" s="1"/>
  <c r="H26" s="1"/>
  <c r="H11" i="15"/>
  <c r="Z21" i="5"/>
  <c r="N11" i="16" s="1"/>
  <c r="N24" s="1"/>
  <c r="N26" s="1"/>
  <c r="N11" i="15"/>
  <c r="V21" i="5"/>
  <c r="J11" i="16" s="1"/>
  <c r="J24" s="1"/>
  <c r="J26" s="1"/>
  <c r="J11" i="15"/>
  <c r="AG9" i="5"/>
  <c r="AH9"/>
  <c r="AM9"/>
  <c r="F16" i="15"/>
  <c r="G17" s="1"/>
  <c r="E10"/>
  <c r="E18" s="1"/>
  <c r="F20"/>
  <c r="F25" i="17" s="1"/>
  <c r="F19" i="15"/>
  <c r="F24" i="17" s="1"/>
  <c r="U11" i="9"/>
  <c r="U23" s="1"/>
  <c r="U27" s="1"/>
  <c r="T11"/>
  <c r="T23" s="1"/>
  <c r="S11"/>
  <c r="S23" s="1"/>
  <c r="V11"/>
  <c r="V23" s="1"/>
  <c r="V27" s="1"/>
  <c r="T21"/>
  <c r="T25"/>
  <c r="S26"/>
  <c r="S25"/>
  <c r="T26"/>
  <c r="S24"/>
  <c r="Q10"/>
  <c r="R20"/>
  <c r="R22"/>
  <c r="R11"/>
  <c r="Q14"/>
  <c r="Q12"/>
  <c r="E12" i="15"/>
  <c r="Q13" i="9"/>
  <c r="Q16"/>
  <c r="S21" l="1"/>
  <c r="G13" i="15"/>
  <c r="G21" s="1"/>
  <c r="D10"/>
  <c r="D16" s="1"/>
  <c r="N13"/>
  <c r="N21" s="1"/>
  <c r="N19"/>
  <c r="N24" i="17" s="1"/>
  <c r="N26" s="1"/>
  <c r="L13" i="15"/>
  <c r="L21" s="1"/>
  <c r="L19"/>
  <c r="L24" i="17" s="1"/>
  <c r="L26" s="1"/>
  <c r="M13" i="15"/>
  <c r="M21" s="1"/>
  <c r="M19"/>
  <c r="M24" i="17" s="1"/>
  <c r="M26" s="1"/>
  <c r="K13" i="15"/>
  <c r="K21" s="1"/>
  <c r="K19"/>
  <c r="K24" i="17" s="1"/>
  <c r="K26" s="1"/>
  <c r="J19" i="15"/>
  <c r="J24" i="17" s="1"/>
  <c r="J26" s="1"/>
  <c r="J13" i="15"/>
  <c r="J21" s="1"/>
  <c r="H13"/>
  <c r="H21" s="1"/>
  <c r="H19"/>
  <c r="H24" i="17" s="1"/>
  <c r="H26" s="1"/>
  <c r="I13" i="15"/>
  <c r="I21" s="1"/>
  <c r="I19"/>
  <c r="I24" i="17" s="1"/>
  <c r="I26" s="1"/>
  <c r="O13" i="15"/>
  <c r="O21" s="1"/>
  <c r="O19"/>
  <c r="O24" i="17" s="1"/>
  <c r="O26" s="1"/>
  <c r="E16" i="15"/>
  <c r="F17" s="1"/>
  <c r="E11"/>
  <c r="E19" s="1"/>
  <c r="E24" i="17" s="1"/>
  <c r="F26"/>
  <c r="T27" i="9"/>
  <c r="E20" i="15"/>
  <c r="E25" i="17" s="1"/>
  <c r="U17" i="9"/>
  <c r="U28" s="1"/>
  <c r="T17"/>
  <c r="T28" s="1"/>
  <c r="V17"/>
  <c r="V28" s="1"/>
  <c r="S17"/>
  <c r="S28" s="1"/>
  <c r="S27"/>
  <c r="R25"/>
  <c r="R26"/>
  <c r="R24"/>
  <c r="R23"/>
  <c r="R17"/>
  <c r="R28" s="1"/>
  <c r="Q22"/>
  <c r="Q20"/>
  <c r="R21" s="1"/>
  <c r="P10"/>
  <c r="Q11"/>
  <c r="P16"/>
  <c r="P15"/>
  <c r="P13"/>
  <c r="P12"/>
  <c r="P14"/>
  <c r="D12" i="15"/>
  <c r="Q15" i="9"/>
  <c r="D18" i="15" l="1"/>
  <c r="D11"/>
  <c r="D19" s="1"/>
  <c r="D24" i="17" s="1"/>
  <c r="E13" i="15"/>
  <c r="E21" s="1"/>
  <c r="E26" i="17"/>
  <c r="D20" i="15"/>
  <c r="D25" i="17" s="1"/>
  <c r="D17" i="15"/>
  <c r="E17"/>
  <c r="R27" i="9"/>
  <c r="Q26"/>
  <c r="Q25"/>
  <c r="Q24"/>
  <c r="Q23"/>
  <c r="Q17"/>
  <c r="Q28" s="1"/>
  <c r="P22"/>
  <c r="P20"/>
  <c r="Q21" s="1"/>
  <c r="O10"/>
  <c r="P11"/>
  <c r="O15"/>
  <c r="O13"/>
  <c r="O14"/>
  <c r="O12"/>
  <c r="O16"/>
  <c r="D13" i="15" l="1"/>
  <c r="D21" s="1"/>
  <c r="D26" i="17"/>
  <c r="Q27" i="9"/>
  <c r="P26"/>
  <c r="P25"/>
  <c r="P24"/>
  <c r="P23"/>
  <c r="P17"/>
  <c r="P28" s="1"/>
  <c r="N10"/>
  <c r="O22"/>
  <c r="O20"/>
  <c r="P21" s="1"/>
  <c r="O11"/>
  <c r="N14"/>
  <c r="N16"/>
  <c r="N13"/>
  <c r="N12"/>
  <c r="N15"/>
  <c r="P27" l="1"/>
  <c r="O26"/>
  <c r="O25"/>
  <c r="O24"/>
  <c r="O23"/>
  <c r="O17"/>
  <c r="O28" s="1"/>
  <c r="M10"/>
  <c r="N22"/>
  <c r="N20"/>
  <c r="O21" s="1"/>
  <c r="N11"/>
  <c r="M15"/>
  <c r="M14"/>
  <c r="M12"/>
  <c r="M13"/>
  <c r="M16"/>
  <c r="N26" l="1"/>
  <c r="O27"/>
  <c r="N25"/>
  <c r="N24"/>
  <c r="N23"/>
  <c r="N17"/>
  <c r="N28" s="1"/>
  <c r="M22"/>
  <c r="M20"/>
  <c r="N21" s="1"/>
  <c r="L10"/>
  <c r="M11"/>
  <c r="L14"/>
  <c r="L16"/>
  <c r="L15"/>
  <c r="L13"/>
  <c r="L12"/>
  <c r="N27" l="1"/>
  <c r="M25"/>
  <c r="M26"/>
  <c r="M24"/>
  <c r="M23"/>
  <c r="M17"/>
  <c r="M28" s="1"/>
  <c r="L22"/>
  <c r="L20"/>
  <c r="M21" s="1"/>
  <c r="K10"/>
  <c r="L11"/>
  <c r="K14"/>
  <c r="K12"/>
  <c r="K15"/>
  <c r="K16"/>
  <c r="K13"/>
  <c r="M27" l="1"/>
  <c r="L26"/>
  <c r="L25"/>
  <c r="L24"/>
  <c r="L23"/>
  <c r="L17"/>
  <c r="L28" s="1"/>
  <c r="K22"/>
  <c r="K20"/>
  <c r="K11"/>
  <c r="L27" l="1"/>
  <c r="K25"/>
  <c r="K26"/>
  <c r="K24"/>
  <c r="L21"/>
  <c r="K21"/>
  <c r="K23"/>
  <c r="K17"/>
  <c r="K28" s="1"/>
  <c r="D7" i="18" l="1"/>
  <c r="D6" i="9"/>
  <c r="C6"/>
  <c r="C7" i="18"/>
  <c r="C7" i="9"/>
  <c r="C8" i="18"/>
  <c r="D7" i="9"/>
  <c r="D8" i="18"/>
  <c r="K27" i="9"/>
  <c r="F6" l="1"/>
  <c r="E6"/>
  <c r="F7"/>
  <c r="C9"/>
  <c r="F8" i="18"/>
  <c r="E8"/>
  <c r="D10"/>
  <c r="C10"/>
  <c r="E7"/>
  <c r="F7"/>
  <c r="D9" i="9"/>
  <c r="E7"/>
  <c r="E9" l="1"/>
  <c r="F10" i="18"/>
  <c r="E10"/>
  <c r="F9" i="9"/>
</calcChain>
</file>

<file path=xl/sharedStrings.xml><?xml version="1.0" encoding="utf-8"?>
<sst xmlns="http://schemas.openxmlformats.org/spreadsheetml/2006/main" count="193" uniqueCount="96">
  <si>
    <t>север</t>
  </si>
  <si>
    <t>юг</t>
  </si>
  <si>
    <t>запад</t>
  </si>
  <si>
    <t>восток</t>
  </si>
  <si>
    <t>Постоянные расходы</t>
  </si>
  <si>
    <t>Доходы</t>
  </si>
  <si>
    <t>Переменные расходы</t>
  </si>
  <si>
    <t>план</t>
  </si>
  <si>
    <t>факт</t>
  </si>
  <si>
    <t>Прочие доходы</t>
  </si>
  <si>
    <t>Прочие расходы</t>
  </si>
  <si>
    <t>Налог на прибыль</t>
  </si>
  <si>
    <t>статья</t>
  </si>
  <si>
    <t>направление</t>
  </si>
  <si>
    <t>Значения</t>
  </si>
  <si>
    <t>код</t>
  </si>
  <si>
    <t>Ф_Д_С</t>
  </si>
  <si>
    <t>Ф_Д_В</t>
  </si>
  <si>
    <t>Ф_Д_З</t>
  </si>
  <si>
    <t>Ф_Д_Ю</t>
  </si>
  <si>
    <t>Ф_С_С</t>
  </si>
  <si>
    <t>Ф_С_В</t>
  </si>
  <si>
    <t>Ф_С_З</t>
  </si>
  <si>
    <t>Ф_С_Ю</t>
  </si>
  <si>
    <t>Ф_П_В</t>
  </si>
  <si>
    <t>Ф_П_З</t>
  </si>
  <si>
    <t>Ф_П_С</t>
  </si>
  <si>
    <t>Ф_П_Ю</t>
  </si>
  <si>
    <t>Ф_Пр_Д</t>
  </si>
  <si>
    <t>Ф_Пр_Р</t>
  </si>
  <si>
    <t>Ф_Н_П</t>
  </si>
  <si>
    <t>П_Д_В</t>
  </si>
  <si>
    <t>П_Д_З</t>
  </si>
  <si>
    <t>П_Д_С</t>
  </si>
  <si>
    <t>П_Д_Ю</t>
  </si>
  <si>
    <t>П_С_В</t>
  </si>
  <si>
    <t>П_С_З</t>
  </si>
  <si>
    <t>П_С_С</t>
  </si>
  <si>
    <t>П_С_Ю</t>
  </si>
  <si>
    <t>П_П_В</t>
  </si>
  <si>
    <t>П_П_З</t>
  </si>
  <si>
    <t>П_П_С</t>
  </si>
  <si>
    <t>П_П_Ю</t>
  </si>
  <si>
    <t>П_Пр_Д</t>
  </si>
  <si>
    <t>П_Пр_Р</t>
  </si>
  <si>
    <t>П_Н_П</t>
  </si>
  <si>
    <t>Данные для диаграммы</t>
  </si>
  <si>
    <t>Главное меню</t>
  </si>
  <si>
    <t>имя</t>
  </si>
  <si>
    <t>значение</t>
  </si>
  <si>
    <t>название диаграммы</t>
  </si>
  <si>
    <t>размерность</t>
  </si>
  <si>
    <t>делитель</t>
  </si>
  <si>
    <t>тыс.руб.</t>
  </si>
  <si>
    <t>Код</t>
  </si>
  <si>
    <t>ном стр</t>
  </si>
  <si>
    <t>выручка итого</t>
  </si>
  <si>
    <t>Ф_Д</t>
  </si>
  <si>
    <t>П_Д*</t>
  </si>
  <si>
    <t>откл</t>
  </si>
  <si>
    <t>выручка прогноз</t>
  </si>
  <si>
    <t>ПР_Д</t>
  </si>
  <si>
    <t>Расходы</t>
  </si>
  <si>
    <t>Прибыль</t>
  </si>
  <si>
    <t>Ф_С*</t>
  </si>
  <si>
    <t>Ф_П_*</t>
  </si>
  <si>
    <t>П_С*</t>
  </si>
  <si>
    <t>П_П_*</t>
  </si>
  <si>
    <t>факт р</t>
  </si>
  <si>
    <t>план р</t>
  </si>
  <si>
    <t>вып%</t>
  </si>
  <si>
    <t>приб</t>
  </si>
  <si>
    <t>План-факт анализ доходов и расходов</t>
  </si>
  <si>
    <t>Себестоимость</t>
  </si>
  <si>
    <t>Сырье и материалы</t>
  </si>
  <si>
    <t>Оплата труда</t>
  </si>
  <si>
    <t>Начисления</t>
  </si>
  <si>
    <t>Накладные</t>
  </si>
  <si>
    <t>Материалы</t>
  </si>
  <si>
    <t>Аренда</t>
  </si>
  <si>
    <t>Прочее</t>
  </si>
  <si>
    <t>р1</t>
  </si>
  <si>
    <t>р2</t>
  </si>
  <si>
    <t>р3</t>
  </si>
  <si>
    <t>р4</t>
  </si>
  <si>
    <t>р5</t>
  </si>
  <si>
    <t>р6</t>
  </si>
  <si>
    <t>р7</t>
  </si>
  <si>
    <t>р8</t>
  </si>
  <si>
    <t>План-Факт доходы</t>
  </si>
  <si>
    <t>Чистая прибыль</t>
  </si>
  <si>
    <t>Ф_ЧП</t>
  </si>
  <si>
    <t>Рентабельность продаж</t>
  </si>
  <si>
    <t>%</t>
  </si>
  <si>
    <t>Отчет</t>
  </si>
  <si>
    <t>Откл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</si>
</sst>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8"/>
      <color theme="4" tint="-0.249977111117893"/>
      <name val="Cambria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1" tint="0.499984740745262"/>
        <bgColor theme="0" tint="-0.1499984740745262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1" tint="0.499984740745262"/>
      </right>
      <top style="thin">
        <color theme="0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3" fontId="0" fillId="0" borderId="4" xfId="0" applyNumberFormat="1" applyFont="1" applyBorder="1"/>
    <xf numFmtId="3" fontId="0" fillId="0" borderId="6" xfId="0" applyNumberFormat="1" applyFont="1" applyBorder="1"/>
    <xf numFmtId="0" fontId="1" fillId="0" borderId="1" xfId="0" applyFont="1" applyBorder="1"/>
    <xf numFmtId="0" fontId="1" fillId="0" borderId="7" xfId="0" applyFont="1" applyBorder="1"/>
    <xf numFmtId="14" fontId="1" fillId="0" borderId="1" xfId="0" applyNumberFormat="1" applyFont="1" applyBorder="1"/>
    <xf numFmtId="0" fontId="1" fillId="2" borderId="4" xfId="0" applyFont="1" applyFill="1" applyBorder="1"/>
    <xf numFmtId="0" fontId="1" fillId="0" borderId="4" xfId="0" applyFont="1" applyBorder="1"/>
    <xf numFmtId="0" fontId="0" fillId="0" borderId="3" xfId="0" applyFont="1" applyBorder="1"/>
    <xf numFmtId="0" fontId="1" fillId="2" borderId="2" xfId="0" applyFont="1" applyFill="1" applyBorder="1"/>
    <xf numFmtId="0" fontId="1" fillId="0" borderId="6" xfId="0" applyFont="1" applyBorder="1"/>
    <xf numFmtId="0" fontId="0" fillId="0" borderId="5" xfId="0" applyFont="1" applyBorder="1"/>
    <xf numFmtId="0" fontId="1" fillId="3" borderId="6" xfId="0" applyFont="1" applyFill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/>
    <xf numFmtId="0" fontId="0" fillId="5" borderId="0" xfId="0" applyFill="1"/>
    <xf numFmtId="0" fontId="0" fillId="5" borderId="0" xfId="0" applyFont="1" applyFill="1" applyBorder="1"/>
    <xf numFmtId="0" fontId="0" fillId="5" borderId="0" xfId="0" applyFill="1" applyBorder="1"/>
    <xf numFmtId="0" fontId="1" fillId="2" borderId="6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0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1" fillId="7" borderId="4" xfId="0" applyNumberFormat="1" applyFont="1" applyFill="1" applyBorder="1"/>
    <xf numFmtId="0" fontId="0" fillId="7" borderId="4" xfId="0" applyFont="1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0" xfId="0" applyFill="1"/>
    <xf numFmtId="3" fontId="0" fillId="0" borderId="0" xfId="0" applyNumberFormat="1" applyFont="1" applyBorder="1"/>
    <xf numFmtId="3" fontId="1" fillId="7" borderId="0" xfId="0" applyNumberFormat="1" applyFont="1" applyFill="1" applyBorder="1"/>
    <xf numFmtId="4" fontId="0" fillId="0" borderId="0" xfId="0" applyNumberFormat="1" applyFont="1" applyBorder="1"/>
    <xf numFmtId="4" fontId="1" fillId="7" borderId="0" xfId="0" applyNumberFormat="1" applyFont="1" applyFill="1" applyBorder="1"/>
    <xf numFmtId="0" fontId="0" fillId="8" borderId="0" xfId="0" applyFill="1" applyBorder="1"/>
    <xf numFmtId="3" fontId="0" fillId="8" borderId="0" xfId="0" applyNumberFormat="1" applyFill="1" applyBorder="1"/>
    <xf numFmtId="3" fontId="0" fillId="8" borderId="12" xfId="0" applyNumberFormat="1" applyFill="1" applyBorder="1"/>
    <xf numFmtId="0" fontId="0" fillId="9" borderId="0" xfId="0" applyFill="1" applyBorder="1"/>
    <xf numFmtId="3" fontId="0" fillId="9" borderId="0" xfId="0" applyNumberForma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3" fontId="0" fillId="10" borderId="0" xfId="0" applyNumberFormat="1" applyFill="1"/>
    <xf numFmtId="9" fontId="0" fillId="10" borderId="0" xfId="1" applyFont="1" applyFill="1"/>
    <xf numFmtId="3" fontId="0" fillId="6" borderId="0" xfId="0" applyNumberFormat="1" applyFill="1"/>
    <xf numFmtId="9" fontId="0" fillId="6" borderId="0" xfId="1" applyFont="1" applyFill="1"/>
    <xf numFmtId="0" fontId="0" fillId="0" borderId="0" xfId="0" applyAlignment="1">
      <alignment horizontal="centerContinuous"/>
    </xf>
    <xf numFmtId="3" fontId="0" fillId="0" borderId="0" xfId="0" applyNumberFormat="1"/>
    <xf numFmtId="0" fontId="1" fillId="2" borderId="0" xfId="0" applyFont="1" applyFill="1" applyBorder="1"/>
    <xf numFmtId="0" fontId="1" fillId="0" borderId="0" xfId="0" applyFont="1" applyBorder="1"/>
    <xf numFmtId="9" fontId="0" fillId="0" borderId="0" xfId="1" applyFont="1" applyBorder="1"/>
    <xf numFmtId="9" fontId="0" fillId="0" borderId="12" xfId="1" applyFont="1" applyBorder="1"/>
    <xf numFmtId="9" fontId="0" fillId="0" borderId="14" xfId="1" applyFont="1" applyBorder="1"/>
    <xf numFmtId="9" fontId="0" fillId="0" borderId="15" xfId="1" applyFont="1" applyBorder="1"/>
    <xf numFmtId="0" fontId="3" fillId="8" borderId="0" xfId="0" applyFont="1" applyFill="1"/>
    <xf numFmtId="0" fontId="4" fillId="8" borderId="0" xfId="0" applyFont="1" applyFill="1"/>
  </cellXfs>
  <cellStyles count="2">
    <cellStyle name="Обычный" xfId="0" builtinId="0"/>
    <cellStyle name="Процентный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Medium7 2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F5F5F5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Доходы!название</c:f>
          <c:strCache>
            <c:ptCount val="1"/>
            <c:pt idx="0">
              <c:v>План-Факт доходы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areaChart>
        <c:grouping val="standard"/>
        <c:ser>
          <c:idx val="1"/>
          <c:order val="1"/>
          <c:tx>
            <c:strRef>
              <c:f>Доходы!$C$20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5000"/>
              </a:schemeClr>
            </a:solidFill>
            <a:ln>
              <a:noFill/>
            </a:ln>
            <a:effectLst/>
          </c:spPr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Доходы!$D$20:$O$20</c:f>
              <c:numCache>
                <c:formatCode>#,##0</c:formatCode>
                <c:ptCount val="12"/>
                <c:pt idx="0">
                  <c:v>1998.8856000000001</c:v>
                </c:pt>
                <c:pt idx="1">
                  <c:v>2118.0067199999999</c:v>
                </c:pt>
                <c:pt idx="2">
                  <c:v>1764.5255999999999</c:v>
                </c:pt>
                <c:pt idx="3">
                  <c:v>2530.4486399999996</c:v>
                </c:pt>
                <c:pt idx="4">
                  <c:v>1831.66848</c:v>
                </c:pt>
                <c:pt idx="5">
                  <c:v>1842.5433599999997</c:v>
                </c:pt>
                <c:pt idx="6">
                  <c:v>2356.1611199999998</c:v>
                </c:pt>
                <c:pt idx="7">
                  <c:v>2210.9774399999997</c:v>
                </c:pt>
                <c:pt idx="8">
                  <c:v>2158.05744</c:v>
                </c:pt>
                <c:pt idx="9">
                  <c:v>2678.8017599999994</c:v>
                </c:pt>
                <c:pt idx="10">
                  <c:v>1892.9476800000002</c:v>
                </c:pt>
                <c:pt idx="11">
                  <c:v>2656.5825599999994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06-4AD2-A773-D96077D7C048}"/>
            </c:ext>
          </c:extLst>
        </c:ser>
        <c:axId val="181518336"/>
        <c:axId val="181519872"/>
      </c:areaChart>
      <c:barChart>
        <c:barDir val="col"/>
        <c:grouping val="stacked"/>
        <c:ser>
          <c:idx val="3"/>
          <c:order val="3"/>
          <c:tx>
            <c:strRef>
              <c:f>Доходы!$C$21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rgbClr val="92D050">
                <a:alpha val="51373"/>
              </a:srgbClr>
            </a:solidFill>
            <a:ln>
              <a:noFill/>
            </a:ln>
            <a:effectLst/>
          </c:spPr>
          <c:invertIfNegative val="1"/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Доходы!$D$21:$O$21</c:f>
              <c:numCache>
                <c:formatCode>#,##0</c:formatCode>
                <c:ptCount val="12"/>
                <c:pt idx="0">
                  <c:v>-456.91776000000021</c:v>
                </c:pt>
                <c:pt idx="1">
                  <c:v>-478.19663999999989</c:v>
                </c:pt>
                <c:pt idx="2">
                  <c:v>-26.85888000000012</c:v>
                </c:pt>
                <c:pt idx="3">
                  <c:v>-457.77455999999961</c:v>
                </c:pt>
                <c:pt idx="4">
                  <c:v>-243.68976000000023</c:v>
                </c:pt>
                <c:pt idx="5">
                  <c:v>404.72336000000013</c:v>
                </c:pt>
                <c:pt idx="6">
                  <c:v>-557.84253599999965</c:v>
                </c:pt>
                <c:pt idx="7">
                  <c:v>-558.0750399999996</c:v>
                </c:pt>
                <c:pt idx="8">
                  <c:v>334.46079999999984</c:v>
                </c:pt>
                <c:pt idx="9">
                  <c:v>-1075.7567999999994</c:v>
                </c:pt>
                <c:pt idx="10">
                  <c:v>272.59760000000011</c:v>
                </c:pt>
                <c:pt idx="11">
                  <c:v>-106.07119999999972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406-4AD2-A773-D96077D7C048}"/>
            </c:ext>
          </c:extLst>
        </c:ser>
        <c:gapWidth val="57"/>
        <c:overlap val="100"/>
        <c:axId val="181518336"/>
        <c:axId val="181519872"/>
      </c:barChart>
      <c:lineChart>
        <c:grouping val="standard"/>
        <c:ser>
          <c:idx val="0"/>
          <c:order val="0"/>
          <c:tx>
            <c:strRef>
              <c:f>Доходы!$C$19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Доходы!$D$19:$O$19</c:f>
              <c:numCache>
                <c:formatCode>#,##0</c:formatCode>
                <c:ptCount val="12"/>
                <c:pt idx="0">
                  <c:v>1541.9678399999998</c:v>
                </c:pt>
                <c:pt idx="1">
                  <c:v>1639.8100799999997</c:v>
                </c:pt>
                <c:pt idx="2">
                  <c:v>1737.6667199999997</c:v>
                </c:pt>
                <c:pt idx="3">
                  <c:v>2072.6740800000002</c:v>
                </c:pt>
                <c:pt idx="4">
                  <c:v>1587.9787199999998</c:v>
                </c:pt>
                <c:pt idx="5">
                  <c:v>2247.2667199999996</c:v>
                </c:pt>
                <c:pt idx="6">
                  <c:v>1798.3185840000001</c:v>
                </c:pt>
                <c:pt idx="7">
                  <c:v>1652.9023999999999</c:v>
                </c:pt>
                <c:pt idx="8">
                  <c:v>2492.5182399999999</c:v>
                </c:pt>
                <c:pt idx="9">
                  <c:v>1603.0449599999999</c:v>
                </c:pt>
                <c:pt idx="10">
                  <c:v>2165.5452800000003</c:v>
                </c:pt>
                <c:pt idx="11">
                  <c:v>2550.51136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06-4AD2-A773-D96077D7C048}"/>
            </c:ext>
          </c:extLst>
        </c:ser>
        <c:ser>
          <c:idx val="2"/>
          <c:order val="2"/>
          <c:tx>
            <c:strRef>
              <c:f>Доходы!#REF!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06-4AD2-A773-D96077D7C048}"/>
            </c:ext>
          </c:extLst>
        </c:ser>
        <c:marker val="1"/>
        <c:axId val="181518336"/>
        <c:axId val="181519872"/>
      </c:lineChart>
      <c:catAx>
        <c:axId val="181518336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19872"/>
        <c:crosses val="autoZero"/>
        <c:auto val="1"/>
        <c:lblAlgn val="ctr"/>
        <c:lblOffset val="0"/>
      </c:catAx>
      <c:valAx>
        <c:axId val="181519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ЧистПриб!$C$4</c:f>
          <c:strCache>
            <c:ptCount val="1"/>
            <c:pt idx="0">
              <c:v>Чистая прибыль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areaChart>
        <c:grouping val="standard"/>
        <c:ser>
          <c:idx val="1"/>
          <c:order val="1"/>
          <c:tx>
            <c:strRef>
              <c:f>ЧистПриб!$C$25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5000"/>
              </a:schemeClr>
            </a:solidFill>
            <a:ln>
              <a:noFill/>
            </a:ln>
            <a:effectLst/>
          </c:spPr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ЧистПриб!$D$25:$O$25</c:f>
              <c:numCache>
                <c:formatCode>#,##0</c:formatCode>
                <c:ptCount val="12"/>
                <c:pt idx="0">
                  <c:v>497.75526671999995</c:v>
                </c:pt>
                <c:pt idx="1">
                  <c:v>774.75445426399995</c:v>
                </c:pt>
                <c:pt idx="2">
                  <c:v>554.77027733999978</c:v>
                </c:pt>
                <c:pt idx="3">
                  <c:v>905.72703404799961</c:v>
                </c:pt>
                <c:pt idx="4">
                  <c:v>391.15080102400003</c:v>
                </c:pt>
                <c:pt idx="5">
                  <c:v>502.26822348799976</c:v>
                </c:pt>
                <c:pt idx="6">
                  <c:v>785.85358508399952</c:v>
                </c:pt>
                <c:pt idx="7">
                  <c:v>813.01926702399953</c:v>
                </c:pt>
                <c:pt idx="8">
                  <c:v>740.08696000799978</c:v>
                </c:pt>
                <c:pt idx="9">
                  <c:v>993.0766114399994</c:v>
                </c:pt>
                <c:pt idx="10">
                  <c:v>631.64043292800034</c:v>
                </c:pt>
                <c:pt idx="11">
                  <c:v>908.92942857599962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59-429B-834D-72D8FDE6A789}"/>
            </c:ext>
          </c:extLst>
        </c:ser>
        <c:axId val="181773824"/>
        <c:axId val="181775360"/>
      </c:areaChart>
      <c:barChart>
        <c:barDir val="col"/>
        <c:grouping val="stacked"/>
        <c:ser>
          <c:idx val="3"/>
          <c:order val="3"/>
          <c:tx>
            <c:strRef>
              <c:f>ЧистПриб!$C$26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rgbClr val="92D050">
                <a:alpha val="51373"/>
              </a:srgbClr>
            </a:solidFill>
            <a:ln>
              <a:noFill/>
            </a:ln>
            <a:effectLst/>
          </c:spPr>
          <c:invertIfNegative val="1"/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ЧистПриб!$D$26:$O$26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E59-429B-834D-72D8FDE6A789}"/>
            </c:ext>
          </c:extLst>
        </c:ser>
        <c:gapWidth val="57"/>
        <c:overlap val="100"/>
        <c:axId val="181773824"/>
        <c:axId val="181775360"/>
      </c:barChart>
      <c:lineChart>
        <c:grouping val="standard"/>
        <c:ser>
          <c:idx val="0"/>
          <c:order val="0"/>
          <c:tx>
            <c:strRef>
              <c:f>ЧистПриб!$C$24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ЧистПриб!$D$24:$O$24</c:f>
              <c:numCache>
                <c:formatCode>#,##0</c:formatCode>
                <c:ptCount val="12"/>
                <c:pt idx="0">
                  <c:v>-145.56051000000011</c:v>
                </c:pt>
                <c:pt idx="1">
                  <c:v>-198.87646000000032</c:v>
                </c:pt>
                <c:pt idx="2">
                  <c:v>-274.5372220000001</c:v>
                </c:pt>
                <c:pt idx="3">
                  <c:v>459.33730550000013</c:v>
                </c:pt>
                <c:pt idx="4">
                  <c:v>-187.66832600000021</c:v>
                </c:pt>
                <c:pt idx="5">
                  <c:v>50.845511999999644</c:v>
                </c:pt>
                <c:pt idx="6">
                  <c:v>201.03336387500033</c:v>
                </c:pt>
                <c:pt idx="7">
                  <c:v>87.168439999999777</c:v>
                </c:pt>
                <c:pt idx="8">
                  <c:v>582.05335329999969</c:v>
                </c:pt>
                <c:pt idx="9">
                  <c:v>-252.9818932</c:v>
                </c:pt>
                <c:pt idx="10">
                  <c:v>503.19852680000042</c:v>
                </c:pt>
                <c:pt idx="11">
                  <c:v>-192.90665600000031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59-429B-834D-72D8FDE6A789}"/>
            </c:ext>
          </c:extLst>
        </c:ser>
        <c:ser>
          <c:idx val="2"/>
          <c:order val="2"/>
          <c:tx>
            <c:strRef>
              <c:f>ЧистПриб!#REF!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59-429B-834D-72D8FDE6A789}"/>
            </c:ext>
          </c:extLst>
        </c:ser>
        <c:marker val="1"/>
        <c:axId val="181773824"/>
        <c:axId val="181775360"/>
      </c:lineChart>
      <c:catAx>
        <c:axId val="181773824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75360"/>
        <c:crosses val="autoZero"/>
        <c:auto val="1"/>
        <c:lblAlgn val="ctr"/>
        <c:lblOffset val="0"/>
      </c:catAx>
      <c:valAx>
        <c:axId val="181775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Рент!$C$4</c:f>
          <c:strCache>
            <c:ptCount val="1"/>
            <c:pt idx="0">
              <c:v>Рентабельность продаж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areaChart>
        <c:grouping val="standard"/>
        <c:ser>
          <c:idx val="1"/>
          <c:order val="1"/>
          <c:tx>
            <c:strRef>
              <c:f>Рент!$C$25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5000"/>
              </a:schemeClr>
            </a:solidFill>
            <a:ln>
              <a:noFill/>
            </a:ln>
            <a:effectLst/>
          </c:spPr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Рент!$D$25:$O$25</c:f>
              <c:numCache>
                <c:formatCode>0%</c:formatCode>
                <c:ptCount val="12"/>
                <c:pt idx="0">
                  <c:v>0.24901638528988349</c:v>
                </c:pt>
                <c:pt idx="1">
                  <c:v>0.36579414359176349</c:v>
                </c:pt>
                <c:pt idx="2">
                  <c:v>0.31440194312850989</c:v>
                </c:pt>
                <c:pt idx="3">
                  <c:v>0.35793140383517119</c:v>
                </c:pt>
                <c:pt idx="4">
                  <c:v>0.21354890652701522</c:v>
                </c:pt>
                <c:pt idx="5">
                  <c:v>0.27259506310234122</c:v>
                </c:pt>
                <c:pt idx="6">
                  <c:v>0.33353134402115914</c:v>
                </c:pt>
                <c:pt idx="7">
                  <c:v>0.36771938614805572</c:v>
                </c:pt>
                <c:pt idx="8">
                  <c:v>0.34294127037137612</c:v>
                </c:pt>
                <c:pt idx="9">
                  <c:v>0.37071672352492391</c:v>
                </c:pt>
                <c:pt idx="10">
                  <c:v>0.33368087221935278</c:v>
                </c:pt>
                <c:pt idx="11">
                  <c:v>0.34214236073882826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74-4AFE-B4F3-0E1A07E01498}"/>
            </c:ext>
          </c:extLst>
        </c:ser>
        <c:axId val="181697536"/>
        <c:axId val="181719808"/>
      </c:areaChart>
      <c:barChart>
        <c:barDir val="col"/>
        <c:grouping val="stacked"/>
        <c:ser>
          <c:idx val="3"/>
          <c:order val="3"/>
          <c:tx>
            <c:strRef>
              <c:f>Рент!$C$26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rgbClr val="92D050">
                <a:alpha val="51373"/>
              </a:srgbClr>
            </a:solidFill>
            <a:ln>
              <a:noFill/>
            </a:ln>
            <a:effectLst/>
          </c:spPr>
          <c:invertIfNegative val="1"/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Рент!$D$26:$O$26</c:f>
              <c:numCache>
                <c:formatCode>0%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7B74-4AFE-B4F3-0E1A07E01498}"/>
            </c:ext>
          </c:extLst>
        </c:ser>
        <c:gapWidth val="57"/>
        <c:overlap val="100"/>
        <c:axId val="181697536"/>
        <c:axId val="181719808"/>
      </c:barChart>
      <c:lineChart>
        <c:grouping val="standard"/>
        <c:ser>
          <c:idx val="0"/>
          <c:order val="0"/>
          <c:tx>
            <c:strRef>
              <c:f>Рент!$C$24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Рент!$D$24:$O$24</c:f>
              <c:numCache>
                <c:formatCode>0%</c:formatCode>
                <c:ptCount val="12"/>
                <c:pt idx="0">
                  <c:v>-9.4399186691208892E-2</c:v>
                </c:pt>
                <c:pt idx="1">
                  <c:v>-0.1212801789826785</c:v>
                </c:pt>
                <c:pt idx="2">
                  <c:v>-0.15799187429911771</c:v>
                </c:pt>
                <c:pt idx="3">
                  <c:v>0.22161579089173541</c:v>
                </c:pt>
                <c:pt idx="4">
                  <c:v>-0.11818063027947895</c:v>
                </c:pt>
                <c:pt idx="5">
                  <c:v>2.2625490578172071E-2</c:v>
                </c:pt>
                <c:pt idx="6">
                  <c:v>0.1117896270792252</c:v>
                </c:pt>
                <c:pt idx="7">
                  <c:v>5.273659231180243E-2</c:v>
                </c:pt>
                <c:pt idx="8">
                  <c:v>0.23352019815108743</c:v>
                </c:pt>
                <c:pt idx="9">
                  <c:v>-0.15781334866615346</c:v>
                </c:pt>
                <c:pt idx="10">
                  <c:v>0.2323657378339373</c:v>
                </c:pt>
                <c:pt idx="11">
                  <c:v>-7.5634501780850849E-2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74-4AFE-B4F3-0E1A07E01498}"/>
            </c:ext>
          </c:extLst>
        </c:ser>
        <c:ser>
          <c:idx val="2"/>
          <c:order val="2"/>
          <c:tx>
            <c:strRef>
              <c:f>Рент!#REF!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B74-4AFE-B4F3-0E1A07E01498}"/>
            </c:ext>
          </c:extLst>
        </c:ser>
        <c:marker val="1"/>
        <c:axId val="181697536"/>
        <c:axId val="181719808"/>
      </c:lineChart>
      <c:catAx>
        <c:axId val="181697536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9808"/>
        <c:crosses val="autoZero"/>
        <c:auto val="1"/>
        <c:lblAlgn val="ctr"/>
        <c:lblOffset val="0"/>
      </c:catAx>
      <c:valAx>
        <c:axId val="181719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Доходы!название</c:f>
          <c:strCache>
            <c:ptCount val="1"/>
            <c:pt idx="0">
              <c:v>План-Факт доходы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areaChart>
        <c:grouping val="standard"/>
        <c:ser>
          <c:idx val="1"/>
          <c:order val="1"/>
          <c:tx>
            <c:strRef>
              <c:f>Доходы!$C$20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5000"/>
              </a:schemeClr>
            </a:solidFill>
            <a:ln>
              <a:noFill/>
            </a:ln>
            <a:effectLst/>
          </c:spPr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Доходы!$D$20:$O$20</c:f>
              <c:numCache>
                <c:formatCode>#,##0</c:formatCode>
                <c:ptCount val="12"/>
                <c:pt idx="0">
                  <c:v>1998.8856000000001</c:v>
                </c:pt>
                <c:pt idx="1">
                  <c:v>2118.0067199999999</c:v>
                </c:pt>
                <c:pt idx="2">
                  <c:v>1764.5255999999999</c:v>
                </c:pt>
                <c:pt idx="3">
                  <c:v>2530.4486399999996</c:v>
                </c:pt>
                <c:pt idx="4">
                  <c:v>1831.66848</c:v>
                </c:pt>
                <c:pt idx="5">
                  <c:v>1842.5433599999997</c:v>
                </c:pt>
                <c:pt idx="6">
                  <c:v>2356.1611199999998</c:v>
                </c:pt>
                <c:pt idx="7">
                  <c:v>2210.9774399999997</c:v>
                </c:pt>
                <c:pt idx="8">
                  <c:v>2158.05744</c:v>
                </c:pt>
                <c:pt idx="9">
                  <c:v>2678.8017599999994</c:v>
                </c:pt>
                <c:pt idx="10">
                  <c:v>1892.9476800000002</c:v>
                </c:pt>
                <c:pt idx="11">
                  <c:v>2656.5825599999994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A6-425E-A624-139F0F548695}"/>
            </c:ext>
          </c:extLst>
        </c:ser>
        <c:axId val="182449280"/>
        <c:axId val="182450816"/>
      </c:areaChart>
      <c:barChart>
        <c:barDir val="col"/>
        <c:grouping val="stacked"/>
        <c:ser>
          <c:idx val="3"/>
          <c:order val="3"/>
          <c:tx>
            <c:strRef>
              <c:f>Доходы!$C$21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rgbClr val="92D050">
                <a:alpha val="51373"/>
              </a:srgbClr>
            </a:solidFill>
            <a:ln>
              <a:noFill/>
            </a:ln>
            <a:effectLst/>
          </c:spPr>
          <c:invertIfNegative val="1"/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Доходы!$D$21:$O$21</c:f>
              <c:numCache>
                <c:formatCode>#,##0</c:formatCode>
                <c:ptCount val="12"/>
                <c:pt idx="0">
                  <c:v>-456.91776000000021</c:v>
                </c:pt>
                <c:pt idx="1">
                  <c:v>-478.19663999999989</c:v>
                </c:pt>
                <c:pt idx="2">
                  <c:v>-26.85888000000012</c:v>
                </c:pt>
                <c:pt idx="3">
                  <c:v>-457.77455999999961</c:v>
                </c:pt>
                <c:pt idx="4">
                  <c:v>-243.68976000000023</c:v>
                </c:pt>
                <c:pt idx="5">
                  <c:v>404.72336000000013</c:v>
                </c:pt>
                <c:pt idx="6">
                  <c:v>-557.84253599999965</c:v>
                </c:pt>
                <c:pt idx="7">
                  <c:v>-558.0750399999996</c:v>
                </c:pt>
                <c:pt idx="8">
                  <c:v>334.46079999999984</c:v>
                </c:pt>
                <c:pt idx="9">
                  <c:v>-1075.7567999999994</c:v>
                </c:pt>
                <c:pt idx="10">
                  <c:v>272.59760000000011</c:v>
                </c:pt>
                <c:pt idx="11">
                  <c:v>-106.07119999999972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90A6-425E-A624-139F0F548695}"/>
            </c:ext>
          </c:extLst>
        </c:ser>
        <c:gapWidth val="57"/>
        <c:overlap val="100"/>
        <c:axId val="182449280"/>
        <c:axId val="182450816"/>
      </c:barChart>
      <c:lineChart>
        <c:grouping val="standard"/>
        <c:ser>
          <c:idx val="0"/>
          <c:order val="0"/>
          <c:tx>
            <c:strRef>
              <c:f>Доходы!$C$19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Доходы!$D$19:$O$19</c:f>
              <c:numCache>
                <c:formatCode>#,##0</c:formatCode>
                <c:ptCount val="12"/>
                <c:pt idx="0">
                  <c:v>1541.9678399999998</c:v>
                </c:pt>
                <c:pt idx="1">
                  <c:v>1639.8100799999997</c:v>
                </c:pt>
                <c:pt idx="2">
                  <c:v>1737.6667199999997</c:v>
                </c:pt>
                <c:pt idx="3">
                  <c:v>2072.6740800000002</c:v>
                </c:pt>
                <c:pt idx="4">
                  <c:v>1587.9787199999998</c:v>
                </c:pt>
                <c:pt idx="5">
                  <c:v>2247.2667199999996</c:v>
                </c:pt>
                <c:pt idx="6">
                  <c:v>1798.3185840000001</c:v>
                </c:pt>
                <c:pt idx="7">
                  <c:v>1652.9023999999999</c:v>
                </c:pt>
                <c:pt idx="8">
                  <c:v>2492.5182399999999</c:v>
                </c:pt>
                <c:pt idx="9">
                  <c:v>1603.0449599999999</c:v>
                </c:pt>
                <c:pt idx="10">
                  <c:v>2165.5452800000003</c:v>
                </c:pt>
                <c:pt idx="11">
                  <c:v>2550.51136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6-425E-A624-139F0F548695}"/>
            </c:ext>
          </c:extLst>
        </c:ser>
        <c:ser>
          <c:idx val="2"/>
          <c:order val="2"/>
          <c:tx>
            <c:strRef>
              <c:f>Доходы!#REF!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Доходы!$D$17:$O$18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Доходы!#REF!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A6-425E-A624-139F0F548695}"/>
            </c:ext>
          </c:extLst>
        </c:ser>
        <c:marker val="1"/>
        <c:axId val="182449280"/>
        <c:axId val="182450816"/>
      </c:lineChart>
      <c:catAx>
        <c:axId val="182449280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50816"/>
        <c:crosses val="autoZero"/>
        <c:auto val="1"/>
        <c:lblAlgn val="ctr"/>
        <c:lblOffset val="0"/>
      </c:catAx>
      <c:valAx>
        <c:axId val="182450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ЧистПриб!$C$4</c:f>
          <c:strCache>
            <c:ptCount val="1"/>
            <c:pt idx="0">
              <c:v>Чистая прибыль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areaChart>
        <c:grouping val="standard"/>
        <c:ser>
          <c:idx val="1"/>
          <c:order val="1"/>
          <c:tx>
            <c:strRef>
              <c:f>ЧистПриб!$C$25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5000"/>
              </a:schemeClr>
            </a:solidFill>
            <a:ln>
              <a:noFill/>
            </a:ln>
            <a:effectLst/>
          </c:spPr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ЧистПриб!$D$25:$O$25</c:f>
              <c:numCache>
                <c:formatCode>#,##0</c:formatCode>
                <c:ptCount val="12"/>
                <c:pt idx="0">
                  <c:v>497.75526671999995</c:v>
                </c:pt>
                <c:pt idx="1">
                  <c:v>774.75445426399995</c:v>
                </c:pt>
                <c:pt idx="2">
                  <c:v>554.77027733999978</c:v>
                </c:pt>
                <c:pt idx="3">
                  <c:v>905.72703404799961</c:v>
                </c:pt>
                <c:pt idx="4">
                  <c:v>391.15080102400003</c:v>
                </c:pt>
                <c:pt idx="5">
                  <c:v>502.26822348799976</c:v>
                </c:pt>
                <c:pt idx="6">
                  <c:v>785.85358508399952</c:v>
                </c:pt>
                <c:pt idx="7">
                  <c:v>813.01926702399953</c:v>
                </c:pt>
                <c:pt idx="8">
                  <c:v>740.08696000799978</c:v>
                </c:pt>
                <c:pt idx="9">
                  <c:v>993.0766114399994</c:v>
                </c:pt>
                <c:pt idx="10">
                  <c:v>631.64043292800034</c:v>
                </c:pt>
                <c:pt idx="11">
                  <c:v>908.92942857599962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90-49BD-BB5C-C52A28954776}"/>
            </c:ext>
          </c:extLst>
        </c:ser>
        <c:axId val="182790784"/>
        <c:axId val="182804864"/>
      </c:areaChart>
      <c:barChart>
        <c:barDir val="col"/>
        <c:grouping val="stacked"/>
        <c:ser>
          <c:idx val="3"/>
          <c:order val="3"/>
          <c:tx>
            <c:strRef>
              <c:f>ЧистПриб!$C$26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rgbClr val="92D050">
                <a:alpha val="51373"/>
              </a:srgbClr>
            </a:solidFill>
            <a:ln>
              <a:noFill/>
            </a:ln>
            <a:effectLst/>
          </c:spPr>
          <c:invertIfNegative val="1"/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ЧистПриб!$D$26:$O$26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290-49BD-BB5C-C52A28954776}"/>
            </c:ext>
          </c:extLst>
        </c:ser>
        <c:gapWidth val="57"/>
        <c:overlap val="100"/>
        <c:axId val="182790784"/>
        <c:axId val="182804864"/>
      </c:barChart>
      <c:lineChart>
        <c:grouping val="standard"/>
        <c:ser>
          <c:idx val="0"/>
          <c:order val="0"/>
          <c:tx>
            <c:strRef>
              <c:f>ЧистПриб!$C$24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ЧистПриб!$D$24:$O$24</c:f>
              <c:numCache>
                <c:formatCode>#,##0</c:formatCode>
                <c:ptCount val="12"/>
                <c:pt idx="0">
                  <c:v>-145.56051000000011</c:v>
                </c:pt>
                <c:pt idx="1">
                  <c:v>-198.87646000000032</c:v>
                </c:pt>
                <c:pt idx="2">
                  <c:v>-274.5372220000001</c:v>
                </c:pt>
                <c:pt idx="3">
                  <c:v>459.33730550000013</c:v>
                </c:pt>
                <c:pt idx="4">
                  <c:v>-187.66832600000021</c:v>
                </c:pt>
                <c:pt idx="5">
                  <c:v>50.845511999999644</c:v>
                </c:pt>
                <c:pt idx="6">
                  <c:v>201.03336387500033</c:v>
                </c:pt>
                <c:pt idx="7">
                  <c:v>87.168439999999777</c:v>
                </c:pt>
                <c:pt idx="8">
                  <c:v>582.05335329999969</c:v>
                </c:pt>
                <c:pt idx="9">
                  <c:v>-252.9818932</c:v>
                </c:pt>
                <c:pt idx="10">
                  <c:v>503.19852680000042</c:v>
                </c:pt>
                <c:pt idx="11">
                  <c:v>-192.90665600000031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90-49BD-BB5C-C52A28954776}"/>
            </c:ext>
          </c:extLst>
        </c:ser>
        <c:ser>
          <c:idx val="2"/>
          <c:order val="2"/>
          <c:tx>
            <c:strRef>
              <c:f>ЧистПриб!#REF!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ЧистПриб!$D$22:$O$23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ЧистПриб!#REF!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90-49BD-BB5C-C52A28954776}"/>
            </c:ext>
          </c:extLst>
        </c:ser>
        <c:marker val="1"/>
        <c:axId val="182790784"/>
        <c:axId val="182804864"/>
      </c:lineChart>
      <c:catAx>
        <c:axId val="182790784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04864"/>
        <c:crosses val="autoZero"/>
        <c:auto val="1"/>
        <c:lblAlgn val="ctr"/>
        <c:lblOffset val="0"/>
      </c:catAx>
      <c:valAx>
        <c:axId val="182804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Рент!$C$4</c:f>
          <c:strCache>
            <c:ptCount val="1"/>
            <c:pt idx="0">
              <c:v>Рентабельность продаж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areaChart>
        <c:grouping val="standard"/>
        <c:ser>
          <c:idx val="1"/>
          <c:order val="1"/>
          <c:tx>
            <c:strRef>
              <c:f>Рент!$C$25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45000"/>
              </a:schemeClr>
            </a:solidFill>
            <a:ln>
              <a:noFill/>
            </a:ln>
            <a:effectLst/>
          </c:spPr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Рент!$D$25:$O$25</c:f>
              <c:numCache>
                <c:formatCode>0%</c:formatCode>
                <c:ptCount val="12"/>
                <c:pt idx="0">
                  <c:v>0.24901638528988349</c:v>
                </c:pt>
                <c:pt idx="1">
                  <c:v>0.36579414359176349</c:v>
                </c:pt>
                <c:pt idx="2">
                  <c:v>0.31440194312850989</c:v>
                </c:pt>
                <c:pt idx="3">
                  <c:v>0.35793140383517119</c:v>
                </c:pt>
                <c:pt idx="4">
                  <c:v>0.21354890652701522</c:v>
                </c:pt>
                <c:pt idx="5">
                  <c:v>0.27259506310234122</c:v>
                </c:pt>
                <c:pt idx="6">
                  <c:v>0.33353134402115914</c:v>
                </c:pt>
                <c:pt idx="7">
                  <c:v>0.36771938614805572</c:v>
                </c:pt>
                <c:pt idx="8">
                  <c:v>0.34294127037137612</c:v>
                </c:pt>
                <c:pt idx="9">
                  <c:v>0.37071672352492391</c:v>
                </c:pt>
                <c:pt idx="10">
                  <c:v>0.33368087221935278</c:v>
                </c:pt>
                <c:pt idx="11">
                  <c:v>0.34214236073882826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93-4E6E-8E7B-945E8A582A88}"/>
            </c:ext>
          </c:extLst>
        </c:ser>
        <c:axId val="182903552"/>
        <c:axId val="182905088"/>
      </c:areaChart>
      <c:barChart>
        <c:barDir val="col"/>
        <c:grouping val="stacked"/>
        <c:ser>
          <c:idx val="3"/>
          <c:order val="3"/>
          <c:tx>
            <c:strRef>
              <c:f>Рент!$C$26</c:f>
              <c:strCache>
                <c:ptCount val="1"/>
                <c:pt idx="0">
                  <c:v>откл</c:v>
                </c:pt>
              </c:strCache>
            </c:strRef>
          </c:tx>
          <c:spPr>
            <a:solidFill>
              <a:srgbClr val="92D050">
                <a:alpha val="51373"/>
              </a:srgbClr>
            </a:solidFill>
            <a:ln>
              <a:noFill/>
            </a:ln>
            <a:effectLst/>
          </c:spPr>
          <c:invertIfNegative val="1"/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Рент!$D$26:$O$26</c:f>
              <c:numCache>
                <c:formatCode>0%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393-4E6E-8E7B-945E8A582A88}"/>
            </c:ext>
          </c:extLst>
        </c:ser>
        <c:gapWidth val="57"/>
        <c:overlap val="100"/>
        <c:axId val="182903552"/>
        <c:axId val="182905088"/>
      </c:barChart>
      <c:lineChart>
        <c:grouping val="standard"/>
        <c:ser>
          <c:idx val="0"/>
          <c:order val="0"/>
          <c:tx>
            <c:strRef>
              <c:f>Рент!$C$24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Рент!$D$24:$O$24</c:f>
              <c:numCache>
                <c:formatCode>0%</c:formatCode>
                <c:ptCount val="12"/>
                <c:pt idx="0">
                  <c:v>-9.4399186691208892E-2</c:v>
                </c:pt>
                <c:pt idx="1">
                  <c:v>-0.1212801789826785</c:v>
                </c:pt>
                <c:pt idx="2">
                  <c:v>-0.15799187429911771</c:v>
                </c:pt>
                <c:pt idx="3">
                  <c:v>0.22161579089173541</c:v>
                </c:pt>
                <c:pt idx="4">
                  <c:v>-0.11818063027947895</c:v>
                </c:pt>
                <c:pt idx="5">
                  <c:v>2.2625490578172071E-2</c:v>
                </c:pt>
                <c:pt idx="6">
                  <c:v>0.1117896270792252</c:v>
                </c:pt>
                <c:pt idx="7">
                  <c:v>5.273659231180243E-2</c:v>
                </c:pt>
                <c:pt idx="8">
                  <c:v>0.23352019815108743</c:v>
                </c:pt>
                <c:pt idx="9">
                  <c:v>-0.15781334866615346</c:v>
                </c:pt>
                <c:pt idx="10">
                  <c:v>0.2323657378339373</c:v>
                </c:pt>
                <c:pt idx="11">
                  <c:v>-7.5634501780850849E-2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93-4E6E-8E7B-945E8A582A88}"/>
            </c:ext>
          </c:extLst>
        </c:ser>
        <c:ser>
          <c:idx val="2"/>
          <c:order val="2"/>
          <c:tx>
            <c:strRef>
              <c:f>Рент!#REF!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Рент!$D$22:$O$23</c:f>
              <c:multiLvlStrCache>
                <c:ptCount val="12"/>
                <c:lvl>
                  <c:pt idx="0">
                    <c:v>авг</c:v>
                  </c:pt>
                  <c:pt idx="1">
                    <c:v>сен</c:v>
                  </c:pt>
                  <c:pt idx="2">
                    <c:v>окт</c:v>
                  </c:pt>
                  <c:pt idx="3">
                    <c:v>ноя</c:v>
                  </c:pt>
                  <c:pt idx="4">
                    <c:v>дек</c:v>
                  </c:pt>
                  <c:pt idx="5">
                    <c:v>янв</c:v>
                  </c:pt>
                  <c:pt idx="6">
                    <c:v>фев</c:v>
                  </c:pt>
                  <c:pt idx="7">
                    <c:v>мар</c:v>
                  </c:pt>
                  <c:pt idx="8">
                    <c:v>апр</c:v>
                  </c:pt>
                  <c:pt idx="9">
                    <c:v>май</c:v>
                  </c:pt>
                  <c:pt idx="10">
                    <c:v>июн</c:v>
                  </c:pt>
                  <c:pt idx="11">
                    <c:v>июл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</c:lvl>
              </c:multiLvlStrCache>
            </c:multiLvlStrRef>
          </c:cat>
          <c:val>
            <c:numRef>
              <c:f>Рент!#REF!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393-4E6E-8E7B-945E8A582A88}"/>
            </c:ext>
          </c:extLst>
        </c:ser>
        <c:marker val="1"/>
        <c:axId val="182903552"/>
        <c:axId val="182905088"/>
      </c:lineChart>
      <c:catAx>
        <c:axId val="182903552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05088"/>
        <c:crosses val="autoZero"/>
        <c:auto val="1"/>
        <c:lblAlgn val="ctr"/>
        <c:lblOffset val="0"/>
      </c:catAx>
      <c:valAx>
        <c:axId val="182905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ВыборДат" max="30000" min="12" page="10" val="1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14654</xdr:colOff>
      <xdr:row>11</xdr:row>
      <xdr:rowOff>7327</xdr:rowOff>
    </xdr:to>
    <xdr:sp macro="" textlink="">
      <xdr:nvSpPr>
        <xdr:cNvPr id="3" name="Скругленный прямоугольник 2"/>
        <xdr:cNvSpPr/>
      </xdr:nvSpPr>
      <xdr:spPr>
        <a:xfrm>
          <a:off x="219075" y="381000"/>
          <a:ext cx="3443654" cy="1531327"/>
        </a:xfrm>
        <a:prstGeom prst="roundRect">
          <a:avLst>
            <a:gd name="adj" fmla="val 4229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19050</xdr:colOff>
      <xdr:row>12</xdr:row>
      <xdr:rowOff>9525</xdr:rowOff>
    </xdr:from>
    <xdr:to>
      <xdr:col>7</xdr:col>
      <xdr:colOff>19050</xdr:colOff>
      <xdr:row>24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0</xdr:colOff>
      <xdr:row>14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14654</xdr:colOff>
      <xdr:row>10</xdr:row>
      <xdr:rowOff>7327</xdr:rowOff>
    </xdr:to>
    <xdr:sp macro="" textlink="">
      <xdr:nvSpPr>
        <xdr:cNvPr id="2" name="Скругленный прямоугольник 1"/>
        <xdr:cNvSpPr/>
      </xdr:nvSpPr>
      <xdr:spPr>
        <a:xfrm>
          <a:off x="219808" y="381000"/>
          <a:ext cx="3443654" cy="1531327"/>
        </a:xfrm>
        <a:prstGeom prst="roundRect">
          <a:avLst>
            <a:gd name="adj" fmla="val 4229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609601</xdr:colOff>
      <xdr:row>38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6</xdr:col>
      <xdr:colOff>609601</xdr:colOff>
      <xdr:row>43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6</xdr:col>
      <xdr:colOff>609601</xdr:colOff>
      <xdr:row>43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1"/>
  <sheetViews>
    <sheetView showGridLines="0" tabSelected="1" zoomScaleNormal="100" workbookViewId="0">
      <selection activeCell="P2" sqref="P2"/>
    </sheetView>
  </sheetViews>
  <sheetFormatPr defaultRowHeight="15"/>
  <cols>
    <col min="2" max="2" width="11.28515625" customWidth="1"/>
    <col min="7" max="7" width="7.42578125" customWidth="1"/>
    <col min="8" max="8" width="6" customWidth="1"/>
  </cols>
  <sheetData>
    <row r="1" spans="2:14" ht="7.5" customHeight="1"/>
    <row r="2" spans="2:14" ht="22.5">
      <c r="B2" s="66" t="s">
        <v>94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>
        <v>19</v>
      </c>
    </row>
    <row r="3" spans="2:14" ht="7.5" customHeight="1"/>
    <row r="4" spans="2:14">
      <c r="B4" s="57" t="s">
        <v>72</v>
      </c>
      <c r="C4" s="57"/>
      <c r="D4" s="57"/>
      <c r="E4" s="57"/>
      <c r="F4" s="57"/>
    </row>
    <row r="5" spans="2:14">
      <c r="B5" s="50"/>
      <c r="C5" s="51" t="s">
        <v>7</v>
      </c>
      <c r="D5" s="51" t="s">
        <v>8</v>
      </c>
      <c r="E5" s="51" t="s">
        <v>59</v>
      </c>
      <c r="F5" s="51" t="s">
        <v>70</v>
      </c>
    </row>
    <row r="6" spans="2:14">
      <c r="B6" s="52"/>
      <c r="C6" s="52"/>
      <c r="D6" s="52"/>
      <c r="E6" s="52"/>
      <c r="F6" s="52"/>
    </row>
    <row r="7" spans="2:14">
      <c r="B7" s="52" t="s">
        <v>5</v>
      </c>
      <c r="C7" s="53">
        <f ca="1">SUM(Таблица!$K$24:$V$24)</f>
        <v>26039.606399999997</v>
      </c>
      <c r="D7" s="53">
        <f>SUM(Таблица!$K$23:$V$23)</f>
        <v>23090.204984</v>
      </c>
      <c r="E7" s="53">
        <f ca="1">D7-C7</f>
        <v>-2949.401415999997</v>
      </c>
      <c r="F7" s="54">
        <f t="shared" ref="F7:F8" ca="1" si="0">D7/C7</f>
        <v>0.88673402467404439</v>
      </c>
    </row>
    <row r="8" spans="2:14">
      <c r="B8" s="52" t="s">
        <v>62</v>
      </c>
      <c r="C8" s="53">
        <f ca="1">SUM(Таблица!$K$26:$V$26)</f>
        <v>17898.642781136001</v>
      </c>
      <c r="D8" s="53">
        <f ca="1">SUM(Таблица!$K$25:$V$25)</f>
        <v>22305.548999999999</v>
      </c>
      <c r="E8" s="53">
        <f ca="1">D8-C8</f>
        <v>4406.9062188639982</v>
      </c>
      <c r="F8" s="54">
        <f t="shared" ca="1" si="0"/>
        <v>1.2462145466978418</v>
      </c>
    </row>
    <row r="9" spans="2:14">
      <c r="B9" s="52"/>
      <c r="C9" s="52"/>
      <c r="D9" s="52"/>
      <c r="E9" s="52"/>
      <c r="F9" s="52"/>
    </row>
    <row r="10" spans="2:14">
      <c r="B10" s="52" t="s">
        <v>63</v>
      </c>
      <c r="C10" s="55">
        <f t="shared" ref="C10:D10" ca="1" si="1">C7-C8</f>
        <v>8140.9636188639961</v>
      </c>
      <c r="D10" s="55">
        <f t="shared" ca="1" si="1"/>
        <v>784.6559840000009</v>
      </c>
      <c r="E10" s="55">
        <f ca="1">D10-C10</f>
        <v>-7356.3076348639952</v>
      </c>
      <c r="F10" s="56">
        <f ca="1">D10/C10</f>
        <v>9.6383674063082611E-2</v>
      </c>
    </row>
    <row r="11" spans="2:14">
      <c r="B11" s="52"/>
      <c r="C11" s="52"/>
      <c r="D11" s="52"/>
      <c r="E11" s="52"/>
      <c r="F11" s="52"/>
    </row>
  </sheetData>
  <conditionalFormatting sqref="F7:F10">
    <cfRule type="iconSet" priority="1">
      <iconSet>
        <cfvo type="percent" val="0"/>
        <cfvo type="num" val="0.9"/>
        <cfvo type="num" val="1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P50"/>
  <sheetViews>
    <sheetView workbookViewId="0">
      <selection activeCell="G9" sqref="G9"/>
    </sheetView>
  </sheetViews>
  <sheetFormatPr defaultRowHeight="15"/>
  <cols>
    <col min="1" max="1" width="5.28515625" customWidth="1"/>
    <col min="2" max="2" width="9.5703125" bestFit="1" customWidth="1"/>
    <col min="3" max="3" width="22.28515625" bestFit="1" customWidth="1"/>
    <col min="4" max="4" width="17.7109375" bestFit="1" customWidth="1"/>
    <col min="5" max="5" width="13" customWidth="1"/>
    <col min="6" max="29" width="10.140625" bestFit="1" customWidth="1"/>
    <col min="30" max="41" width="10.140625" customWidth="1"/>
    <col min="42" max="42" width="3.5703125" customWidth="1"/>
  </cols>
  <sheetData>
    <row r="1" spans="2:42">
      <c r="F1">
        <f>MONTH(F2)</f>
        <v>1</v>
      </c>
      <c r="G1">
        <f t="shared" ref="G1:AO1" si="0">MONTH(G2)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</v>
      </c>
      <c r="S1">
        <f t="shared" si="0"/>
        <v>2</v>
      </c>
      <c r="T1">
        <f t="shared" si="0"/>
        <v>3</v>
      </c>
      <c r="U1">
        <f t="shared" si="0"/>
        <v>4</v>
      </c>
      <c r="V1">
        <f t="shared" si="0"/>
        <v>5</v>
      </c>
      <c r="W1">
        <f t="shared" si="0"/>
        <v>6</v>
      </c>
      <c r="X1">
        <f t="shared" si="0"/>
        <v>7</v>
      </c>
      <c r="Y1">
        <f t="shared" si="0"/>
        <v>8</v>
      </c>
      <c r="Z1">
        <f t="shared" si="0"/>
        <v>9</v>
      </c>
      <c r="AA1">
        <f t="shared" si="0"/>
        <v>10</v>
      </c>
      <c r="AB1">
        <f t="shared" si="0"/>
        <v>11</v>
      </c>
      <c r="AC1">
        <f t="shared" si="0"/>
        <v>12</v>
      </c>
      <c r="AD1">
        <f t="shared" si="0"/>
        <v>1</v>
      </c>
      <c r="AE1">
        <f t="shared" si="0"/>
        <v>2</v>
      </c>
      <c r="AF1">
        <f t="shared" si="0"/>
        <v>3</v>
      </c>
      <c r="AG1">
        <f t="shared" si="0"/>
        <v>4</v>
      </c>
      <c r="AH1">
        <f t="shared" si="0"/>
        <v>5</v>
      </c>
      <c r="AI1">
        <f t="shared" si="0"/>
        <v>6</v>
      </c>
      <c r="AJ1">
        <f t="shared" si="0"/>
        <v>7</v>
      </c>
      <c r="AK1">
        <f t="shared" si="0"/>
        <v>8</v>
      </c>
      <c r="AL1">
        <f t="shared" si="0"/>
        <v>9</v>
      </c>
      <c r="AM1">
        <f t="shared" si="0"/>
        <v>10</v>
      </c>
      <c r="AN1">
        <f t="shared" si="0"/>
        <v>11</v>
      </c>
      <c r="AO1">
        <f t="shared" si="0"/>
        <v>12</v>
      </c>
    </row>
    <row r="2" spans="2:42" ht="15.75" thickBot="1">
      <c r="B2" s="3" t="s">
        <v>14</v>
      </c>
      <c r="C2" s="3" t="s">
        <v>12</v>
      </c>
      <c r="D2" s="4" t="s">
        <v>13</v>
      </c>
      <c r="E2" s="13" t="s">
        <v>15</v>
      </c>
      <c r="F2" s="5">
        <v>41640</v>
      </c>
      <c r="G2" s="5">
        <v>41671</v>
      </c>
      <c r="H2" s="5">
        <v>41699</v>
      </c>
      <c r="I2" s="5">
        <v>41730</v>
      </c>
      <c r="J2" s="5">
        <v>41760</v>
      </c>
      <c r="K2" s="5">
        <v>41791</v>
      </c>
      <c r="L2" s="5">
        <v>41821</v>
      </c>
      <c r="M2" s="5">
        <v>41852</v>
      </c>
      <c r="N2" s="5">
        <v>41883</v>
      </c>
      <c r="O2" s="5">
        <v>41913</v>
      </c>
      <c r="P2" s="5">
        <v>41944</v>
      </c>
      <c r="Q2" s="5">
        <v>41974</v>
      </c>
      <c r="R2" s="5">
        <v>42005</v>
      </c>
      <c r="S2" s="5">
        <v>42036</v>
      </c>
      <c r="T2" s="5">
        <v>42064</v>
      </c>
      <c r="U2" s="5">
        <v>42095</v>
      </c>
      <c r="V2" s="5">
        <v>42125</v>
      </c>
      <c r="W2" s="5">
        <v>42156</v>
      </c>
      <c r="X2" s="5">
        <v>42186</v>
      </c>
      <c r="Y2" s="5">
        <v>42217</v>
      </c>
      <c r="Z2" s="5">
        <v>42248</v>
      </c>
      <c r="AA2" s="5">
        <v>42278</v>
      </c>
      <c r="AB2" s="5">
        <v>42309</v>
      </c>
      <c r="AC2" s="5">
        <v>42339</v>
      </c>
      <c r="AD2" s="5">
        <v>42370</v>
      </c>
      <c r="AE2" s="5">
        <v>42401</v>
      </c>
      <c r="AF2" s="5">
        <v>42430</v>
      </c>
      <c r="AG2" s="5">
        <v>42461</v>
      </c>
      <c r="AH2" s="5">
        <v>42491</v>
      </c>
      <c r="AI2" s="5">
        <v>42522</v>
      </c>
      <c r="AJ2" s="5">
        <v>42552</v>
      </c>
      <c r="AK2" s="5">
        <v>42583</v>
      </c>
      <c r="AL2" s="5">
        <v>42614</v>
      </c>
      <c r="AM2" s="5">
        <v>42644</v>
      </c>
      <c r="AN2" s="5">
        <v>42675</v>
      </c>
      <c r="AO2" s="5">
        <v>42705</v>
      </c>
      <c r="AP2" s="16"/>
    </row>
    <row r="3" spans="2:42">
      <c r="B3" s="12"/>
      <c r="C3" s="7"/>
      <c r="D3" s="8"/>
      <c r="E3" s="1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16"/>
    </row>
    <row r="4" spans="2:42">
      <c r="B4" s="6" t="s">
        <v>8</v>
      </c>
      <c r="C4" s="7" t="s">
        <v>5</v>
      </c>
      <c r="D4" s="8" t="s">
        <v>3</v>
      </c>
      <c r="E4" s="14" t="s">
        <v>17</v>
      </c>
      <c r="F4" s="1">
        <v>554919.8848</v>
      </c>
      <c r="G4" s="1">
        <v>425053.2096</v>
      </c>
      <c r="H4" s="1">
        <v>513817.56</v>
      </c>
      <c r="I4" s="1">
        <v>536698.08000000007</v>
      </c>
      <c r="J4" s="1">
        <v>763724.51679999998</v>
      </c>
      <c r="K4" s="1">
        <v>177673.47840000008</v>
      </c>
      <c r="L4" s="1">
        <v>901621.78559999994</v>
      </c>
      <c r="M4" s="1">
        <v>956020.06079999986</v>
      </c>
      <c r="N4" s="1">
        <v>491943.0239999998</v>
      </c>
      <c r="O4" s="1">
        <v>451793.34719999979</v>
      </c>
      <c r="P4" s="1">
        <v>518168.51999999996</v>
      </c>
      <c r="Q4" s="1">
        <v>301715.95679999999</v>
      </c>
      <c r="R4" s="1">
        <v>757488.68640000012</v>
      </c>
      <c r="S4" s="1">
        <v>627662.24639999995</v>
      </c>
      <c r="T4" s="1">
        <v>576464.38399999996</v>
      </c>
      <c r="U4" s="1">
        <v>990387.95039999997</v>
      </c>
      <c r="V4" s="1">
        <v>304487.19359999994</v>
      </c>
      <c r="W4" s="1">
        <v>859663.58400000003</v>
      </c>
      <c r="X4" s="1">
        <v>779092.04480000003</v>
      </c>
      <c r="Y4" s="1">
        <v>787821.75360000005</v>
      </c>
      <c r="Z4" s="1">
        <v>460459.41119999991</v>
      </c>
      <c r="AA4" s="1">
        <v>735130.33920000005</v>
      </c>
      <c r="AB4" s="1">
        <v>961630.24479999999</v>
      </c>
      <c r="AC4" s="1">
        <v>79955.424000000072</v>
      </c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16"/>
    </row>
    <row r="5" spans="2:42">
      <c r="B5" s="6"/>
      <c r="C5" s="7"/>
      <c r="D5" s="8" t="s">
        <v>2</v>
      </c>
      <c r="E5" s="14" t="s">
        <v>18</v>
      </c>
      <c r="F5" s="1">
        <v>448233.68160000001</v>
      </c>
      <c r="G5" s="1">
        <v>384448.16320000001</v>
      </c>
      <c r="H5" s="1">
        <v>223548</v>
      </c>
      <c r="I5" s="1">
        <v>563532.98399999994</v>
      </c>
      <c r="J5" s="1">
        <v>140501.592</v>
      </c>
      <c r="K5" s="1">
        <v>296122.46399999998</v>
      </c>
      <c r="L5" s="1">
        <v>117602.8416</v>
      </c>
      <c r="M5" s="1">
        <v>354652.60320000001</v>
      </c>
      <c r="N5" s="1">
        <v>541137.32640000002</v>
      </c>
      <c r="O5" s="1">
        <v>677690.02079999994</v>
      </c>
      <c r="P5" s="1">
        <v>393808.07520000002</v>
      </c>
      <c r="Q5" s="1">
        <v>460513.8287999999</v>
      </c>
      <c r="R5" s="1">
        <v>425199.33919999999</v>
      </c>
      <c r="S5" s="1">
        <v>612025.21439999994</v>
      </c>
      <c r="T5" s="1">
        <v>388225.6</v>
      </c>
      <c r="U5" s="1">
        <v>433125.91200000001</v>
      </c>
      <c r="V5" s="1">
        <v>237339.7824</v>
      </c>
      <c r="W5" s="1">
        <v>286554.52799999999</v>
      </c>
      <c r="X5" s="1">
        <v>635709.65759999992</v>
      </c>
      <c r="Y5" s="1">
        <v>622415.08640000003</v>
      </c>
      <c r="Z5" s="1">
        <v>420419.46239999996</v>
      </c>
      <c r="AA5" s="1">
        <v>704797.55999999994</v>
      </c>
      <c r="AB5" s="1">
        <v>915460.20160000003</v>
      </c>
      <c r="AC5" s="1">
        <v>839531.95199999982</v>
      </c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16"/>
    </row>
    <row r="6" spans="2:42">
      <c r="B6" s="6"/>
      <c r="C6" s="7"/>
      <c r="D6" s="8" t="s">
        <v>0</v>
      </c>
      <c r="E6" s="14" t="s">
        <v>16</v>
      </c>
      <c r="F6" s="1">
        <v>401051.1888</v>
      </c>
      <c r="G6" s="1">
        <v>464145.64</v>
      </c>
      <c r="H6" s="1">
        <v>500056</v>
      </c>
      <c r="I6" s="1">
        <v>661240.48800000001</v>
      </c>
      <c r="J6" s="1">
        <v>84300.955199999982</v>
      </c>
      <c r="K6" s="1">
        <v>296122.46399999998</v>
      </c>
      <c r="L6" s="1">
        <v>862420.83840000001</v>
      </c>
      <c r="M6" s="1">
        <v>200455.81919999997</v>
      </c>
      <c r="N6" s="1">
        <v>524739.22559999989</v>
      </c>
      <c r="O6" s="1">
        <v>260650.00799999994</v>
      </c>
      <c r="P6" s="1">
        <v>310901.11199999996</v>
      </c>
      <c r="Q6" s="1">
        <v>619311.70079999999</v>
      </c>
      <c r="R6" s="1">
        <v>839379.35519999999</v>
      </c>
      <c r="S6" s="1">
        <v>216000</v>
      </c>
      <c r="T6" s="1">
        <v>335283.64799999999</v>
      </c>
      <c r="U6" s="1">
        <v>559128.83039999998</v>
      </c>
      <c r="V6" s="1">
        <v>666065.73599999992</v>
      </c>
      <c r="W6" s="1">
        <v>646806.28159999999</v>
      </c>
      <c r="X6" s="1">
        <v>686061.36320000002</v>
      </c>
      <c r="Y6" s="1">
        <v>112545.96479999999</v>
      </c>
      <c r="Z6" s="1">
        <v>780779.00159999996</v>
      </c>
      <c r="AA6" s="1">
        <v>540959.51199999999</v>
      </c>
      <c r="AB6" s="1">
        <v>723330.6767999999</v>
      </c>
      <c r="AC6" s="1">
        <v>199888.55999999997</v>
      </c>
      <c r="AD6" s="41"/>
      <c r="AE6" s="43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16"/>
    </row>
    <row r="7" spans="2:42">
      <c r="B7" s="6"/>
      <c r="C7" s="7"/>
      <c r="D7" s="8" t="s">
        <v>1</v>
      </c>
      <c r="E7" s="14" t="s">
        <v>19</v>
      </c>
      <c r="F7" s="1">
        <v>654919.8848</v>
      </c>
      <c r="G7" s="1">
        <v>482935.54719999997</v>
      </c>
      <c r="H7" s="1">
        <v>529289.43999999994</v>
      </c>
      <c r="I7" s="1">
        <v>322018.84799999994</v>
      </c>
      <c r="J7" s="1">
        <v>421504.7759999999</v>
      </c>
      <c r="K7" s="1">
        <v>710693.91359999997</v>
      </c>
      <c r="L7" s="1">
        <v>78401.89439999999</v>
      </c>
      <c r="M7" s="1">
        <v>30839.356799999998</v>
      </c>
      <c r="N7" s="1">
        <v>81990.504000000001</v>
      </c>
      <c r="O7" s="1">
        <v>347533.34399999998</v>
      </c>
      <c r="P7" s="1">
        <v>849796.3727999999</v>
      </c>
      <c r="Q7" s="1">
        <v>206437.23359999998</v>
      </c>
      <c r="R7" s="1">
        <v>225199.33919999996</v>
      </c>
      <c r="S7" s="1">
        <v>342631.12319999997</v>
      </c>
      <c r="T7" s="1">
        <v>352928.76799999998</v>
      </c>
      <c r="U7" s="1">
        <v>509875.54719999997</v>
      </c>
      <c r="V7" s="1">
        <v>395152.24800000002</v>
      </c>
      <c r="W7" s="1">
        <v>372520.88639999996</v>
      </c>
      <c r="X7" s="1">
        <v>449648.29439999996</v>
      </c>
      <c r="Y7" s="1">
        <v>590866.31519999984</v>
      </c>
      <c r="Z7" s="1">
        <v>340339.56479999999</v>
      </c>
      <c r="AA7" s="1">
        <v>338302.82879999996</v>
      </c>
      <c r="AB7" s="1">
        <v>338580.31679999997</v>
      </c>
      <c r="AC7" s="1">
        <v>879509.66399999999</v>
      </c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16"/>
    </row>
    <row r="8" spans="2:42">
      <c r="B8" s="6"/>
      <c r="C8" s="7"/>
      <c r="D8" s="8" t="s">
        <v>56</v>
      </c>
      <c r="E8" s="37" t="s">
        <v>57</v>
      </c>
      <c r="F8" s="36">
        <f>SUM(F4:F7)</f>
        <v>2059124.6400000001</v>
      </c>
      <c r="G8" s="36">
        <f t="shared" ref="G8:AC8" si="1">SUM(G4:G7)</f>
        <v>1756582.56</v>
      </c>
      <c r="H8" s="36">
        <f t="shared" si="1"/>
        <v>1766711</v>
      </c>
      <c r="I8" s="36">
        <f t="shared" si="1"/>
        <v>2083490.4000000001</v>
      </c>
      <c r="J8" s="36">
        <f t="shared" si="1"/>
        <v>1410031.8399999999</v>
      </c>
      <c r="K8" s="36">
        <f t="shared" si="1"/>
        <v>1480612.3199999998</v>
      </c>
      <c r="L8" s="36">
        <f t="shared" si="1"/>
        <v>1960047.3599999999</v>
      </c>
      <c r="M8" s="36">
        <f t="shared" si="1"/>
        <v>1541967.8399999999</v>
      </c>
      <c r="N8" s="36">
        <f t="shared" si="1"/>
        <v>1639810.0799999998</v>
      </c>
      <c r="O8" s="36">
        <f t="shared" si="1"/>
        <v>1737666.7199999997</v>
      </c>
      <c r="P8" s="36">
        <f t="shared" si="1"/>
        <v>2072674.08</v>
      </c>
      <c r="Q8" s="36">
        <f t="shared" si="1"/>
        <v>1587978.7199999997</v>
      </c>
      <c r="R8" s="36">
        <f t="shared" si="1"/>
        <v>2247266.7199999997</v>
      </c>
      <c r="S8" s="36">
        <f t="shared" si="1"/>
        <v>1798318.584</v>
      </c>
      <c r="T8" s="36">
        <f t="shared" si="1"/>
        <v>1652902.4</v>
      </c>
      <c r="U8" s="36">
        <f t="shared" si="1"/>
        <v>2492518.2399999998</v>
      </c>
      <c r="V8" s="36">
        <f t="shared" si="1"/>
        <v>1603044.96</v>
      </c>
      <c r="W8" s="36">
        <f t="shared" si="1"/>
        <v>2165545.2800000003</v>
      </c>
      <c r="X8" s="36">
        <f t="shared" si="1"/>
        <v>2550511.36</v>
      </c>
      <c r="Y8" s="36">
        <f t="shared" si="1"/>
        <v>2113649.12</v>
      </c>
      <c r="Z8" s="36">
        <f t="shared" si="1"/>
        <v>2001997.4399999997</v>
      </c>
      <c r="AA8" s="36">
        <f t="shared" si="1"/>
        <v>2319190.2399999998</v>
      </c>
      <c r="AB8" s="36">
        <f t="shared" si="1"/>
        <v>2939001.44</v>
      </c>
      <c r="AC8" s="36">
        <f t="shared" si="1"/>
        <v>1998885.6</v>
      </c>
      <c r="AD8" s="44" t="e">
        <f>NA()</f>
        <v>#N/A</v>
      </c>
      <c r="AE8" s="44" t="e">
        <f>NA()</f>
        <v>#N/A</v>
      </c>
      <c r="AF8" s="44" t="e">
        <f>NA()</f>
        <v>#N/A</v>
      </c>
      <c r="AG8" s="44" t="e">
        <f>NA()</f>
        <v>#N/A</v>
      </c>
      <c r="AH8" s="44" t="e">
        <f>NA()</f>
        <v>#N/A</v>
      </c>
      <c r="AI8" s="44" t="e">
        <f>NA()</f>
        <v>#N/A</v>
      </c>
      <c r="AJ8" s="44" t="e">
        <f>NA()</f>
        <v>#N/A</v>
      </c>
      <c r="AK8" s="44" t="e">
        <f>NA()</f>
        <v>#N/A</v>
      </c>
      <c r="AL8" s="44" t="e">
        <f>NA()</f>
        <v>#N/A</v>
      </c>
      <c r="AM8" s="44" t="e">
        <f>NA()</f>
        <v>#N/A</v>
      </c>
      <c r="AN8" s="44" t="e">
        <f>NA()</f>
        <v>#N/A</v>
      </c>
      <c r="AO8" s="44" t="e">
        <f>NA()</f>
        <v>#N/A</v>
      </c>
      <c r="AP8" s="16"/>
    </row>
    <row r="9" spans="2:42">
      <c r="B9" s="6"/>
      <c r="C9" s="7"/>
      <c r="D9" s="8" t="s">
        <v>60</v>
      </c>
      <c r="E9" s="37" t="s">
        <v>61</v>
      </c>
      <c r="F9" s="36" t="e">
        <f>NA()</f>
        <v>#N/A</v>
      </c>
      <c r="G9" s="36" t="e">
        <f>NA()</f>
        <v>#N/A</v>
      </c>
      <c r="H9" s="36" t="e">
        <f>NA()</f>
        <v>#N/A</v>
      </c>
      <c r="I9" s="36" t="e">
        <f>NA()</f>
        <v>#N/A</v>
      </c>
      <c r="J9" s="36" t="e">
        <f>NA()</f>
        <v>#N/A</v>
      </c>
      <c r="K9" s="36" t="e">
        <f>NA()</f>
        <v>#N/A</v>
      </c>
      <c r="L9" s="36" t="e">
        <f>NA()</f>
        <v>#N/A</v>
      </c>
      <c r="M9" s="36" t="e">
        <f>NA()</f>
        <v>#N/A</v>
      </c>
      <c r="N9" s="36" t="e">
        <f>NA()</f>
        <v>#N/A</v>
      </c>
      <c r="O9" s="36" t="e">
        <f>NA()</f>
        <v>#N/A</v>
      </c>
      <c r="P9" s="36" t="e">
        <f>NA()</f>
        <v>#N/A</v>
      </c>
      <c r="Q9" s="36" t="e">
        <f>NA()</f>
        <v>#N/A</v>
      </c>
      <c r="R9" s="36" t="e">
        <f>NA()</f>
        <v>#N/A</v>
      </c>
      <c r="S9" s="36" t="e">
        <f>NA()</f>
        <v>#N/A</v>
      </c>
      <c r="T9" s="36" t="e">
        <f>NA()</f>
        <v>#N/A</v>
      </c>
      <c r="U9" s="36" t="e">
        <f>NA()</f>
        <v>#N/A</v>
      </c>
      <c r="V9" s="36" t="e">
        <f>NA()</f>
        <v>#N/A</v>
      </c>
      <c r="W9" s="36" t="e">
        <f>NA()</f>
        <v>#N/A</v>
      </c>
      <c r="X9" s="36" t="e">
        <f>NA()</f>
        <v>#N/A</v>
      </c>
      <c r="Y9" s="36" t="e">
        <f>NA()</f>
        <v>#N/A</v>
      </c>
      <c r="Z9" s="36" t="e">
        <f>NA()</f>
        <v>#N/A</v>
      </c>
      <c r="AA9" s="36" t="e">
        <f>NA()</f>
        <v>#N/A</v>
      </c>
      <c r="AB9" s="36" t="e">
        <f>NA()</f>
        <v>#N/A</v>
      </c>
      <c r="AC9" s="36">
        <f>AC8</f>
        <v>1998885.6</v>
      </c>
      <c r="AD9" s="42">
        <f>TREND($F$8:$AC$8,$F$2:$AC$2,AD2)*AVERAGEIFS($F$8:$AC$8,$F$1:$AC$1,AD1)/AVERAGE($F$8:$AC$8)</f>
        <v>2544225.2862900873</v>
      </c>
      <c r="AE9" s="42">
        <f t="shared" ref="AE9:AO9" si="2">TREND($F$8:$AC$8,$F$2:$AC$2,AE2)*AVERAGEIFS($F$8:$AC$8,$F$1:$AC$1,AE1)/AVERAGE($F$8:$AC$8)</f>
        <v>2126507.2199524702</v>
      </c>
      <c r="AF9" s="42">
        <f t="shared" si="2"/>
        <v>2069213.8968070159</v>
      </c>
      <c r="AG9" s="42">
        <f t="shared" si="2"/>
        <v>2802758.6445991416</v>
      </c>
      <c r="AH9" s="42">
        <f t="shared" si="2"/>
        <v>1867021.6486005853</v>
      </c>
      <c r="AI9" s="42">
        <f t="shared" si="2"/>
        <v>2286241.7538837693</v>
      </c>
      <c r="AJ9" s="42">
        <f t="shared" si="2"/>
        <v>2860494.6694692052</v>
      </c>
      <c r="AK9" s="42">
        <f t="shared" si="2"/>
        <v>2345317.9459601808</v>
      </c>
      <c r="AL9" s="42">
        <f t="shared" si="2"/>
        <v>2363364.3290642602</v>
      </c>
      <c r="AM9" s="42">
        <f t="shared" si="2"/>
        <v>2661717.8011281881</v>
      </c>
      <c r="AN9" s="42">
        <f t="shared" si="2"/>
        <v>3325204.3098137518</v>
      </c>
      <c r="AO9" s="42">
        <f t="shared" si="2"/>
        <v>2405499.4079654291</v>
      </c>
      <c r="AP9" s="16"/>
    </row>
    <row r="10" spans="2:42">
      <c r="B10" s="6"/>
      <c r="C10" s="7" t="s">
        <v>6</v>
      </c>
      <c r="D10" s="8" t="s">
        <v>3</v>
      </c>
      <c r="E10" s="14" t="s">
        <v>21</v>
      </c>
      <c r="F10" s="1">
        <v>286447.19999999984</v>
      </c>
      <c r="G10" s="1">
        <v>373947.54999999987</v>
      </c>
      <c r="H10" s="1">
        <v>367285.1999999999</v>
      </c>
      <c r="I10" s="1">
        <v>318747.51999999996</v>
      </c>
      <c r="J10" s="1">
        <v>756138.72</v>
      </c>
      <c r="K10" s="1">
        <v>244626.57999999996</v>
      </c>
      <c r="L10" s="1">
        <v>394633.98000000004</v>
      </c>
      <c r="M10" s="1">
        <v>673171.4</v>
      </c>
      <c r="N10" s="1">
        <v>569497.31999999995</v>
      </c>
      <c r="O10" s="1">
        <v>367064.75</v>
      </c>
      <c r="P10" s="1">
        <v>400253.00000000006</v>
      </c>
      <c r="Q10" s="1">
        <v>271715.42999999988</v>
      </c>
      <c r="R10" s="1">
        <v>596898.42999999993</v>
      </c>
      <c r="S10" s="1">
        <v>484950.56000000006</v>
      </c>
      <c r="T10" s="1">
        <v>116781.83999999994</v>
      </c>
      <c r="U10" s="1">
        <v>195516.60000000003</v>
      </c>
      <c r="V10" s="1">
        <v>389423.31000000006</v>
      </c>
      <c r="W10" s="1">
        <v>339947.55000000005</v>
      </c>
      <c r="X10" s="1">
        <v>810138.68</v>
      </c>
      <c r="Y10" s="1">
        <v>646781.97</v>
      </c>
      <c r="Z10" s="1">
        <v>509253.43999999983</v>
      </c>
      <c r="AA10" s="1">
        <v>58211.549999999836</v>
      </c>
      <c r="AB10" s="1">
        <v>1033902.4300000002</v>
      </c>
      <c r="AC10" s="1">
        <v>905832</v>
      </c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16"/>
    </row>
    <row r="11" spans="2:42">
      <c r="B11" s="6"/>
      <c r="C11" s="7"/>
      <c r="D11" s="8" t="s">
        <v>2</v>
      </c>
      <c r="E11" s="14" t="s">
        <v>22</v>
      </c>
      <c r="F11" s="1">
        <v>534701.44000000006</v>
      </c>
      <c r="G11" s="1">
        <v>767576.55</v>
      </c>
      <c r="H11" s="1">
        <v>91821.3</v>
      </c>
      <c r="I11" s="1">
        <v>159373.76000000001</v>
      </c>
      <c r="J11" s="1">
        <v>441080.92000000004</v>
      </c>
      <c r="K11" s="1">
        <v>277984.75</v>
      </c>
      <c r="L11" s="1">
        <v>379455.75</v>
      </c>
      <c r="M11" s="1">
        <v>85676.360000000015</v>
      </c>
      <c r="N11" s="1">
        <v>379664.88000000006</v>
      </c>
      <c r="O11" s="1">
        <v>249604.03000000003</v>
      </c>
      <c r="P11" s="1">
        <v>343074</v>
      </c>
      <c r="Q11" s="1">
        <v>388164.89999999997</v>
      </c>
      <c r="R11" s="1">
        <v>129059.12000000001</v>
      </c>
      <c r="S11" s="1">
        <v>394727.19999999995</v>
      </c>
      <c r="T11" s="1">
        <v>272490.96000000002</v>
      </c>
      <c r="U11" s="1">
        <v>260688.80000000002</v>
      </c>
      <c r="V11" s="1">
        <v>281996.19</v>
      </c>
      <c r="W11" s="1">
        <v>241253.1</v>
      </c>
      <c r="X11" s="1">
        <v>79037.919999999998</v>
      </c>
      <c r="Y11" s="1">
        <v>457479.93</v>
      </c>
      <c r="Z11" s="1">
        <v>541081.78</v>
      </c>
      <c r="AA11" s="1">
        <v>659730.9</v>
      </c>
      <c r="AB11" s="1">
        <v>315427.86</v>
      </c>
      <c r="AC11" s="1">
        <v>528402</v>
      </c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16"/>
    </row>
    <row r="12" spans="2:42">
      <c r="B12" s="6"/>
      <c r="C12" s="7"/>
      <c r="D12" s="8" t="s">
        <v>0</v>
      </c>
      <c r="E12" s="14" t="s">
        <v>20</v>
      </c>
      <c r="F12" s="1">
        <v>591990.88</v>
      </c>
      <c r="G12" s="1">
        <v>629806.4</v>
      </c>
      <c r="H12" s="1">
        <v>156096.21000000002</v>
      </c>
      <c r="I12" s="1">
        <v>367785.6</v>
      </c>
      <c r="J12" s="1">
        <v>126023.12000000001</v>
      </c>
      <c r="K12" s="1">
        <v>166790.85</v>
      </c>
      <c r="L12" s="1">
        <v>166960.53</v>
      </c>
      <c r="M12" s="1">
        <v>208071.16</v>
      </c>
      <c r="N12" s="1">
        <v>230510.82</v>
      </c>
      <c r="O12" s="1">
        <v>337699.57</v>
      </c>
      <c r="P12" s="1">
        <v>228716</v>
      </c>
      <c r="Q12" s="1">
        <v>414042.56</v>
      </c>
      <c r="R12" s="1">
        <v>516236.48000000004</v>
      </c>
      <c r="S12" s="1">
        <v>169168.8</v>
      </c>
      <c r="T12" s="1">
        <v>262759.14</v>
      </c>
      <c r="U12" s="1">
        <v>456205.39999999997</v>
      </c>
      <c r="V12" s="1">
        <v>241711.02</v>
      </c>
      <c r="W12" s="1">
        <v>241253.1</v>
      </c>
      <c r="X12" s="1">
        <v>691581.79999999993</v>
      </c>
      <c r="Y12" s="1">
        <v>15775.17</v>
      </c>
      <c r="Z12" s="1">
        <v>509253.44</v>
      </c>
      <c r="AA12" s="1">
        <v>620923.20000000007</v>
      </c>
      <c r="AB12" s="1">
        <v>210285.24</v>
      </c>
      <c r="AC12" s="1">
        <v>169843.5</v>
      </c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16"/>
    </row>
    <row r="13" spans="2:42">
      <c r="B13" s="6"/>
      <c r="C13" s="7"/>
      <c r="D13" s="8" t="s">
        <v>1</v>
      </c>
      <c r="E13" s="14" t="s">
        <v>23</v>
      </c>
      <c r="F13" s="1">
        <v>496508.48000000004</v>
      </c>
      <c r="G13" s="1">
        <v>196814.5</v>
      </c>
      <c r="H13" s="1">
        <v>303010.29000000004</v>
      </c>
      <c r="I13" s="1">
        <v>380045.12</v>
      </c>
      <c r="J13" s="1">
        <v>252046.24000000002</v>
      </c>
      <c r="K13" s="1">
        <v>422536.82</v>
      </c>
      <c r="L13" s="1">
        <v>576772.74</v>
      </c>
      <c r="M13" s="1">
        <v>257029.08</v>
      </c>
      <c r="N13" s="1">
        <v>176272.98</v>
      </c>
      <c r="O13" s="1">
        <v>513890.64999999997</v>
      </c>
      <c r="P13" s="1">
        <v>171537</v>
      </c>
      <c r="Q13" s="1">
        <v>219960.11000000002</v>
      </c>
      <c r="R13" s="1">
        <v>371044.97000000003</v>
      </c>
      <c r="S13" s="1">
        <v>78945.440000000002</v>
      </c>
      <c r="T13" s="1">
        <v>321150.06</v>
      </c>
      <c r="U13" s="1">
        <v>391033.2</v>
      </c>
      <c r="V13" s="1">
        <v>429708.48</v>
      </c>
      <c r="W13" s="1">
        <v>274151.25</v>
      </c>
      <c r="X13" s="1">
        <v>395189.60000000003</v>
      </c>
      <c r="Y13" s="1">
        <v>457479.93</v>
      </c>
      <c r="Z13" s="1">
        <v>31828.34</v>
      </c>
      <c r="AA13" s="1">
        <v>601519.35</v>
      </c>
      <c r="AB13" s="1">
        <v>192761.47</v>
      </c>
      <c r="AC13" s="1">
        <v>283072.5</v>
      </c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16"/>
    </row>
    <row r="14" spans="2:42">
      <c r="B14" s="6"/>
      <c r="C14" s="7" t="s">
        <v>4</v>
      </c>
      <c r="D14" s="8" t="s">
        <v>3</v>
      </c>
      <c r="E14" s="14" t="s">
        <v>24</v>
      </c>
      <c r="F14" s="1">
        <v>114578.87999999995</v>
      </c>
      <c r="G14" s="1">
        <v>149579.01999999996</v>
      </c>
      <c r="H14" s="1">
        <v>146914.07999999996</v>
      </c>
      <c r="I14" s="1">
        <v>127499.00799999999</v>
      </c>
      <c r="J14" s="1">
        <v>302455.48800000001</v>
      </c>
      <c r="K14" s="1">
        <v>97850.631999999983</v>
      </c>
      <c r="L14" s="1">
        <v>157853.59200000003</v>
      </c>
      <c r="M14" s="1">
        <v>269268.56</v>
      </c>
      <c r="N14" s="1">
        <v>227798.92799999999</v>
      </c>
      <c r="O14" s="1">
        <v>146825.9</v>
      </c>
      <c r="P14" s="1">
        <v>160101.20000000004</v>
      </c>
      <c r="Q14" s="1">
        <v>108686.17199999996</v>
      </c>
      <c r="R14" s="1">
        <v>238759.37199999997</v>
      </c>
      <c r="S14" s="1">
        <v>280398.22399999999</v>
      </c>
      <c r="T14" s="1">
        <v>46712.735999999975</v>
      </c>
      <c r="U14" s="1">
        <v>78206.640000000014</v>
      </c>
      <c r="V14" s="1">
        <v>155769.32400000002</v>
      </c>
      <c r="W14" s="1">
        <v>135979.02000000002</v>
      </c>
      <c r="X14" s="1">
        <v>324055.47200000007</v>
      </c>
      <c r="Y14" s="1">
        <v>258712.788</v>
      </c>
      <c r="Z14" s="1">
        <v>203701.37599999993</v>
      </c>
      <c r="AA14" s="1">
        <v>23284.619999999937</v>
      </c>
      <c r="AB14" s="1">
        <v>413560.97200000007</v>
      </c>
      <c r="AC14" s="1">
        <v>362332.80000000005</v>
      </c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16"/>
    </row>
    <row r="15" spans="2:42">
      <c r="B15" s="6"/>
      <c r="C15" s="7"/>
      <c r="D15" s="8" t="s">
        <v>2</v>
      </c>
      <c r="E15" s="14" t="s">
        <v>25</v>
      </c>
      <c r="F15" s="1">
        <v>213880.57600000003</v>
      </c>
      <c r="G15" s="1">
        <v>307030.62000000005</v>
      </c>
      <c r="H15" s="1">
        <v>36728.520000000004</v>
      </c>
      <c r="I15" s="1">
        <v>63749.504000000008</v>
      </c>
      <c r="J15" s="1">
        <v>176432.36800000002</v>
      </c>
      <c r="K15" s="1">
        <v>111193.90000000001</v>
      </c>
      <c r="L15" s="1">
        <v>151782.30000000002</v>
      </c>
      <c r="M15" s="1">
        <v>34270.544000000009</v>
      </c>
      <c r="N15" s="1">
        <v>151865.95200000002</v>
      </c>
      <c r="O15" s="1">
        <v>99841.612000000023</v>
      </c>
      <c r="P15" s="1">
        <v>137229.6</v>
      </c>
      <c r="Q15" s="1">
        <v>155265.96</v>
      </c>
      <c r="R15" s="1">
        <v>51623.648000000008</v>
      </c>
      <c r="S15" s="1">
        <v>90890.880000000005</v>
      </c>
      <c r="T15" s="1">
        <v>108996.38400000002</v>
      </c>
      <c r="U15" s="1">
        <v>104275.52000000002</v>
      </c>
      <c r="V15" s="1">
        <v>112798.47600000001</v>
      </c>
      <c r="W15" s="1">
        <v>96501.24</v>
      </c>
      <c r="X15" s="1">
        <v>31615.168000000001</v>
      </c>
      <c r="Y15" s="1">
        <v>182991.97200000001</v>
      </c>
      <c r="Z15" s="1">
        <v>216432.71200000003</v>
      </c>
      <c r="AA15" s="1">
        <v>263892.36000000004</v>
      </c>
      <c r="AB15" s="1">
        <v>126171.144</v>
      </c>
      <c r="AC15" s="1">
        <v>211360.80000000002</v>
      </c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16"/>
    </row>
    <row r="16" spans="2:42">
      <c r="B16" s="6"/>
      <c r="C16" s="7"/>
      <c r="D16" s="8" t="s">
        <v>0</v>
      </c>
      <c r="E16" s="14" t="s">
        <v>26</v>
      </c>
      <c r="F16" s="1">
        <v>236796.35200000001</v>
      </c>
      <c r="G16" s="1">
        <v>251922.56000000003</v>
      </c>
      <c r="H16" s="1">
        <v>62438.484000000011</v>
      </c>
      <c r="I16" s="1">
        <v>147114.23999999999</v>
      </c>
      <c r="J16" s="1">
        <v>50409.248000000007</v>
      </c>
      <c r="K16" s="1">
        <v>66716.340000000011</v>
      </c>
      <c r="L16" s="1">
        <v>66784.212</v>
      </c>
      <c r="M16" s="1">
        <v>83228.464000000007</v>
      </c>
      <c r="N16" s="1">
        <v>92204.328000000009</v>
      </c>
      <c r="O16" s="1">
        <v>135079.82800000001</v>
      </c>
      <c r="P16" s="1">
        <v>91486.400000000009</v>
      </c>
      <c r="Q16" s="1">
        <v>165617.024</v>
      </c>
      <c r="R16" s="1">
        <v>206494.59200000003</v>
      </c>
      <c r="S16" s="1">
        <v>67667.520000000004</v>
      </c>
      <c r="T16" s="1">
        <v>105103.65600000002</v>
      </c>
      <c r="U16" s="1">
        <v>182482.16</v>
      </c>
      <c r="V16" s="1">
        <v>96684.407999999996</v>
      </c>
      <c r="W16" s="1">
        <v>96501.24</v>
      </c>
      <c r="X16" s="1">
        <v>276632.71999999997</v>
      </c>
      <c r="Y16" s="1">
        <v>6310.0680000000002</v>
      </c>
      <c r="Z16" s="1">
        <v>203701.37600000002</v>
      </c>
      <c r="AA16" s="1">
        <v>248369.28000000003</v>
      </c>
      <c r="AB16" s="1">
        <v>84114.096000000005</v>
      </c>
      <c r="AC16" s="1">
        <v>67937.400000000009</v>
      </c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16"/>
    </row>
    <row r="17" spans="2:42">
      <c r="B17" s="6"/>
      <c r="C17" s="7"/>
      <c r="D17" s="8" t="s">
        <v>1</v>
      </c>
      <c r="E17" s="14" t="s">
        <v>27</v>
      </c>
      <c r="F17" s="1">
        <v>198603.39200000002</v>
      </c>
      <c r="G17" s="1">
        <v>78725.8</v>
      </c>
      <c r="H17" s="1">
        <v>121204.11600000002</v>
      </c>
      <c r="I17" s="1">
        <v>152018.04800000001</v>
      </c>
      <c r="J17" s="1">
        <v>100818.49600000001</v>
      </c>
      <c r="K17" s="1">
        <v>169014.728</v>
      </c>
      <c r="L17" s="1">
        <v>230709.09600000002</v>
      </c>
      <c r="M17" s="1">
        <v>102811.632</v>
      </c>
      <c r="N17" s="1">
        <v>70509.19200000001</v>
      </c>
      <c r="O17" s="1">
        <v>205556.26</v>
      </c>
      <c r="P17" s="1">
        <v>68614.8</v>
      </c>
      <c r="Q17" s="1">
        <v>87984.044000000009</v>
      </c>
      <c r="R17" s="1">
        <v>148417.98800000001</v>
      </c>
      <c r="S17" s="1">
        <v>31578.176000000003</v>
      </c>
      <c r="T17" s="1">
        <v>128460.024</v>
      </c>
      <c r="U17" s="1">
        <v>156413.28</v>
      </c>
      <c r="V17" s="1">
        <v>171883.39199999999</v>
      </c>
      <c r="W17" s="1">
        <v>109660.5</v>
      </c>
      <c r="X17" s="1">
        <v>158075.84000000003</v>
      </c>
      <c r="Y17" s="1">
        <v>182991.97200000001</v>
      </c>
      <c r="Z17" s="1">
        <v>12731.336000000001</v>
      </c>
      <c r="AA17" s="1">
        <v>240607.74</v>
      </c>
      <c r="AB17" s="1">
        <v>77104.588000000003</v>
      </c>
      <c r="AC17" s="1">
        <v>113229</v>
      </c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16"/>
    </row>
    <row r="18" spans="2:42">
      <c r="B18" s="6"/>
      <c r="C18" s="7" t="s">
        <v>9</v>
      </c>
      <c r="D18" s="8" t="s">
        <v>9</v>
      </c>
      <c r="E18" s="14" t="s">
        <v>28</v>
      </c>
      <c r="F18" s="1">
        <v>81914.05</v>
      </c>
      <c r="G18" s="1">
        <v>92242.450000000012</v>
      </c>
      <c r="H18" s="1">
        <v>80571.750000000015</v>
      </c>
      <c r="I18" s="1">
        <v>186353.5</v>
      </c>
      <c r="J18" s="1">
        <v>156112.87999999998</v>
      </c>
      <c r="K18" s="1">
        <v>102820.30000000002</v>
      </c>
      <c r="L18" s="1">
        <v>95280.080000000016</v>
      </c>
      <c r="M18" s="1">
        <v>74956.77</v>
      </c>
      <c r="N18" s="1">
        <v>113875.69999999998</v>
      </c>
      <c r="O18" s="1">
        <v>84469.91</v>
      </c>
      <c r="P18" s="1">
        <v>100754.99</v>
      </c>
      <c r="Q18" s="1">
        <v>77193.41</v>
      </c>
      <c r="R18" s="1">
        <v>113737.04000000001</v>
      </c>
      <c r="S18" s="1">
        <v>87418.264500000019</v>
      </c>
      <c r="T18" s="1">
        <v>98037.599999999977</v>
      </c>
      <c r="U18" s="1">
        <v>166407.38999999998</v>
      </c>
      <c r="V18" s="1">
        <v>92509.13</v>
      </c>
      <c r="W18" s="1">
        <v>198996.2</v>
      </c>
      <c r="X18" s="1">
        <v>86139.520000000004</v>
      </c>
      <c r="Y18" s="1">
        <v>117235.37999999999</v>
      </c>
      <c r="Z18" s="1">
        <v>125124.84</v>
      </c>
      <c r="AA18" s="1">
        <v>195777.1</v>
      </c>
      <c r="AB18" s="1">
        <v>85500.08</v>
      </c>
      <c r="AC18" s="1">
        <v>124930.34999999999</v>
      </c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16"/>
    </row>
    <row r="19" spans="2:42">
      <c r="B19" s="6"/>
      <c r="C19" s="7" t="s">
        <v>10</v>
      </c>
      <c r="D19" s="8" t="s">
        <v>10</v>
      </c>
      <c r="E19" s="14" t="s">
        <v>29</v>
      </c>
      <c r="F19" s="1">
        <v>76385.919999999998</v>
      </c>
      <c r="G19" s="1">
        <v>78725.8</v>
      </c>
      <c r="H19" s="1">
        <v>36728.519999999997</v>
      </c>
      <c r="I19" s="1">
        <v>29422.847999999998</v>
      </c>
      <c r="J19" s="1">
        <v>56710.404000000002</v>
      </c>
      <c r="K19" s="1">
        <v>22238.78</v>
      </c>
      <c r="L19" s="1">
        <v>42499.044000000002</v>
      </c>
      <c r="M19" s="1">
        <v>48957.919999999998</v>
      </c>
      <c r="N19" s="1">
        <v>54237.84</v>
      </c>
      <c r="O19" s="1">
        <v>41111.252</v>
      </c>
      <c r="P19" s="1">
        <v>32020.240000000009</v>
      </c>
      <c r="Q19" s="1">
        <v>41404.256000000001</v>
      </c>
      <c r="R19" s="1">
        <v>51623.648000000008</v>
      </c>
      <c r="S19" s="1">
        <v>32937.436000000002</v>
      </c>
      <c r="T19" s="1">
        <v>38927.279999999999</v>
      </c>
      <c r="U19" s="1">
        <v>52137.760000000002</v>
      </c>
      <c r="V19" s="1">
        <v>53713.560000000012</v>
      </c>
      <c r="W19" s="1">
        <v>43864.2</v>
      </c>
      <c r="X19" s="1">
        <v>63230.336000000003</v>
      </c>
      <c r="Y19" s="1">
        <v>37860.408000000003</v>
      </c>
      <c r="Z19" s="1">
        <v>38194.008000000002</v>
      </c>
      <c r="AA19" s="1">
        <v>38807.699999999997</v>
      </c>
      <c r="AB19" s="1">
        <v>56076.064000000006</v>
      </c>
      <c r="AC19" s="1">
        <v>52840.200000000012</v>
      </c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16"/>
    </row>
    <row r="20" spans="2:42">
      <c r="B20" s="9"/>
      <c r="C20" s="10" t="s">
        <v>11</v>
      </c>
      <c r="D20" s="11" t="s">
        <v>11</v>
      </c>
      <c r="E20" s="14" t="s">
        <v>30</v>
      </c>
      <c r="F20" s="2">
        <v>0</v>
      </c>
      <c r="G20" s="2">
        <v>0</v>
      </c>
      <c r="H20" s="2">
        <v>66531.364799999996</v>
      </c>
      <c r="I20" s="2">
        <v>112408.82519999999</v>
      </c>
      <c r="J20" s="2">
        <v>154886.53751999984</v>
      </c>
      <c r="K20" s="2">
        <v>940.64040000001023</v>
      </c>
      <c r="L20" s="2">
        <v>0</v>
      </c>
      <c r="M20" s="2">
        <v>0</v>
      </c>
      <c r="N20" s="2">
        <v>0</v>
      </c>
      <c r="O20" s="2">
        <v>0</v>
      </c>
      <c r="P20" s="2">
        <v>81059.524499999956</v>
      </c>
      <c r="Q20" s="2">
        <v>0</v>
      </c>
      <c r="R20" s="2">
        <v>0</v>
      </c>
      <c r="S20" s="2">
        <v>53439.248624999957</v>
      </c>
      <c r="T20" s="2">
        <v>262389.48000000004</v>
      </c>
      <c r="U20" s="2">
        <v>199912.91669999991</v>
      </c>
      <c r="V20" s="2">
        <v>14847.823199999855</v>
      </c>
      <c r="W20" s="2">
        <v>282231.75319999986</v>
      </c>
      <c r="X20" s="2">
        <v>0</v>
      </c>
      <c r="Y20" s="2">
        <v>82140.035039999944</v>
      </c>
      <c r="Z20" s="2">
        <v>0</v>
      </c>
      <c r="AA20" s="2">
        <v>46731.715199999948</v>
      </c>
      <c r="AB20" s="2">
        <v>0</v>
      </c>
      <c r="AC20" s="2">
        <v>0</v>
      </c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16"/>
    </row>
    <row r="21" spans="2:42">
      <c r="B21" s="59"/>
      <c r="C21" s="60" t="s">
        <v>90</v>
      </c>
      <c r="D21" s="11" t="str">
        <f>C21</f>
        <v>Чистая прибыль</v>
      </c>
      <c r="E21" s="15" t="s">
        <v>91</v>
      </c>
      <c r="F21" s="2">
        <f>F8-SUM(F10:F17)+F18-F19-F20</f>
        <v>-608854.42999999959</v>
      </c>
      <c r="G21" s="2">
        <f t="shared" ref="G21:AC21" si="3">G8-SUM(G10:G17)+G18-G19-G20</f>
        <v>-985303.79</v>
      </c>
      <c r="H21" s="2">
        <f t="shared" si="3"/>
        <v>458524.66520000005</v>
      </c>
      <c r="I21" s="2">
        <f t="shared" si="3"/>
        <v>411679.42680000036</v>
      </c>
      <c r="J21" s="2">
        <f t="shared" si="3"/>
        <v>-850856.82152</v>
      </c>
      <c r="K21" s="2">
        <f t="shared" si="3"/>
        <v>3538.5995999997476</v>
      </c>
      <c r="L21" s="2">
        <f t="shared" si="3"/>
        <v>-112123.80400000029</v>
      </c>
      <c r="M21" s="2">
        <f t="shared" si="3"/>
        <v>-145560.5100000001</v>
      </c>
      <c r="N21" s="2">
        <f t="shared" si="3"/>
        <v>-198876.46000000031</v>
      </c>
      <c r="O21" s="2">
        <f t="shared" si="3"/>
        <v>-274537.22200000013</v>
      </c>
      <c r="P21" s="2">
        <f t="shared" si="3"/>
        <v>459337.30550000013</v>
      </c>
      <c r="Q21" s="2">
        <f t="shared" si="3"/>
        <v>-187668.3260000002</v>
      </c>
      <c r="R21" s="2">
        <f t="shared" si="3"/>
        <v>50845.511999999646</v>
      </c>
      <c r="S21" s="2">
        <f t="shared" si="3"/>
        <v>201033.36387500033</v>
      </c>
      <c r="T21" s="2">
        <f t="shared" si="3"/>
        <v>87168.439999999769</v>
      </c>
      <c r="U21" s="2">
        <f t="shared" si="3"/>
        <v>582053.35329999973</v>
      </c>
      <c r="V21" s="2">
        <f t="shared" si="3"/>
        <v>-252981.89319999999</v>
      </c>
      <c r="W21" s="2">
        <f t="shared" si="3"/>
        <v>503198.5268000004</v>
      </c>
      <c r="X21" s="2">
        <f t="shared" si="3"/>
        <v>-192906.65600000031</v>
      </c>
      <c r="Y21" s="2">
        <f t="shared" si="3"/>
        <v>-97639.743039999652</v>
      </c>
      <c r="Z21" s="2">
        <f t="shared" si="3"/>
        <v>-139055.52800000011</v>
      </c>
      <c r="AA21" s="2">
        <f t="shared" si="3"/>
        <v>-287111.0752000002</v>
      </c>
      <c r="AB21" s="2">
        <f t="shared" si="3"/>
        <v>515097.65600000008</v>
      </c>
      <c r="AC21" s="2">
        <f t="shared" si="3"/>
        <v>-571034.24999999953</v>
      </c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16"/>
    </row>
    <row r="22" spans="2:42">
      <c r="D22" s="11"/>
      <c r="E22" s="15"/>
      <c r="F22" s="2"/>
      <c r="AP22" s="16"/>
    </row>
    <row r="23" spans="2:42">
      <c r="B23" s="6" t="s">
        <v>7</v>
      </c>
      <c r="C23" s="7" t="s">
        <v>5</v>
      </c>
      <c r="D23" s="8" t="s">
        <v>3</v>
      </c>
      <c r="E23" s="14" t="s">
        <v>31</v>
      </c>
      <c r="F23" s="1">
        <v>380198.59199999989</v>
      </c>
      <c r="G23" s="1">
        <v>111736.05119999994</v>
      </c>
      <c r="H23" s="1">
        <v>279092.04480000015</v>
      </c>
      <c r="I23" s="1">
        <v>787821.75360000005</v>
      </c>
      <c r="J23" s="1">
        <v>460459.41119999991</v>
      </c>
      <c r="K23" s="1">
        <v>1635130.3391999998</v>
      </c>
      <c r="L23" s="1">
        <v>261630.24480000004</v>
      </c>
      <c r="M23" s="1">
        <v>79955.424000000072</v>
      </c>
      <c r="N23" s="1">
        <v>1101363.4944</v>
      </c>
      <c r="O23" s="1">
        <v>405840.88800000004</v>
      </c>
      <c r="P23" s="1">
        <v>809743.56479999982</v>
      </c>
      <c r="Q23" s="1">
        <v>494550.48959999997</v>
      </c>
      <c r="R23" s="1">
        <v>884420.81279999984</v>
      </c>
      <c r="S23" s="1">
        <v>636163.5024</v>
      </c>
      <c r="T23" s="1">
        <v>508524.81119999988</v>
      </c>
      <c r="U23" s="1">
        <v>776900.67840000009</v>
      </c>
      <c r="V23" s="1">
        <v>535760.35199999996</v>
      </c>
      <c r="W23" s="1">
        <v>719320.11839999992</v>
      </c>
      <c r="X23" s="1">
        <v>425053.2096</v>
      </c>
      <c r="Y23" s="1">
        <v>513817.56000000006</v>
      </c>
      <c r="Z23" s="1">
        <v>536698.08000000007</v>
      </c>
      <c r="AA23" s="1">
        <v>2163724.5167999994</v>
      </c>
      <c r="AB23" s="1">
        <v>177673.47840000008</v>
      </c>
      <c r="AC23" s="1">
        <v>901621.78559999994</v>
      </c>
      <c r="AD23" s="41">
        <v>380198.59199999989</v>
      </c>
      <c r="AE23" s="41">
        <v>111736.05119999994</v>
      </c>
      <c r="AF23" s="41">
        <v>279092.04480000015</v>
      </c>
      <c r="AG23" s="41">
        <v>787821.75360000005</v>
      </c>
      <c r="AH23" s="41">
        <v>460459.41119999991</v>
      </c>
      <c r="AI23" s="41">
        <v>1635130.3391999998</v>
      </c>
      <c r="AJ23" s="41">
        <v>261630.24480000004</v>
      </c>
      <c r="AK23" s="41">
        <v>79955.424000000072</v>
      </c>
      <c r="AL23" s="41">
        <v>1101363.4944</v>
      </c>
      <c r="AM23" s="41">
        <v>405840.88800000004</v>
      </c>
      <c r="AN23" s="41">
        <v>809743.56479999982</v>
      </c>
      <c r="AO23" s="41">
        <v>494550.48959999997</v>
      </c>
      <c r="AP23" s="16"/>
    </row>
    <row r="24" spans="2:42">
      <c r="B24" s="6"/>
      <c r="C24" s="7"/>
      <c r="D24" s="8" t="s">
        <v>2</v>
      </c>
      <c r="E24" s="14" t="s">
        <v>32</v>
      </c>
      <c r="F24" s="1">
        <v>741387.25439999986</v>
      </c>
      <c r="G24" s="1">
        <v>530746.24320000003</v>
      </c>
      <c r="H24" s="1">
        <v>635709.65759999992</v>
      </c>
      <c r="I24" s="1">
        <v>1322415.0863999999</v>
      </c>
      <c r="J24" s="1">
        <v>420419.46239999996</v>
      </c>
      <c r="K24" s="1">
        <v>704797.55999999994</v>
      </c>
      <c r="L24" s="1">
        <v>215460.2016</v>
      </c>
      <c r="M24" s="1">
        <v>839531.95199999982</v>
      </c>
      <c r="N24" s="1">
        <v>889562.82239999995</v>
      </c>
      <c r="O24" s="1">
        <v>352905.11999999994</v>
      </c>
      <c r="P24" s="1">
        <v>961570.48320000002</v>
      </c>
      <c r="Q24" s="1">
        <v>512867.17439999996</v>
      </c>
      <c r="R24" s="1">
        <v>589613.87520000001</v>
      </c>
      <c r="S24" s="1">
        <v>918902.83679999993</v>
      </c>
      <c r="T24" s="1">
        <v>88439.097599999994</v>
      </c>
      <c r="U24" s="1">
        <v>107902.87199999999</v>
      </c>
      <c r="V24" s="1">
        <v>589336.38719999988</v>
      </c>
      <c r="W24" s="1">
        <v>340730.58240000001</v>
      </c>
      <c r="X24" s="1">
        <v>584448.16319999995</v>
      </c>
      <c r="Y24" s="1">
        <v>66299.039999999994</v>
      </c>
      <c r="Z24" s="1">
        <v>563532.98399999994</v>
      </c>
      <c r="AA24" s="1">
        <v>140501.592</v>
      </c>
      <c r="AB24" s="1">
        <v>296122.46399999998</v>
      </c>
      <c r="AC24" s="1">
        <v>117602.8416</v>
      </c>
      <c r="AD24" s="41">
        <v>741387.25439999986</v>
      </c>
      <c r="AE24" s="41">
        <v>530746.24320000003</v>
      </c>
      <c r="AF24" s="41">
        <v>635709.65759999992</v>
      </c>
      <c r="AG24" s="41">
        <v>1322415.0863999999</v>
      </c>
      <c r="AH24" s="41">
        <v>420419.46239999996</v>
      </c>
      <c r="AI24" s="41">
        <v>704797.55999999994</v>
      </c>
      <c r="AJ24" s="41">
        <v>215460.2016</v>
      </c>
      <c r="AK24" s="41">
        <v>839531.95199999982</v>
      </c>
      <c r="AL24" s="41">
        <v>889562.82239999995</v>
      </c>
      <c r="AM24" s="41">
        <v>352905.11999999994</v>
      </c>
      <c r="AN24" s="41">
        <v>961570.48320000002</v>
      </c>
      <c r="AO24" s="41">
        <v>512867.17439999996</v>
      </c>
      <c r="AP24" s="16"/>
    </row>
    <row r="25" spans="2:42">
      <c r="B25" s="6"/>
      <c r="C25" s="7"/>
      <c r="D25" s="8" t="s">
        <v>0</v>
      </c>
      <c r="E25" s="14" t="s">
        <v>33</v>
      </c>
      <c r="F25" s="1">
        <v>494258.16960000002</v>
      </c>
      <c r="G25" s="1">
        <v>1089426.4992</v>
      </c>
      <c r="H25" s="1">
        <v>186061.36319999999</v>
      </c>
      <c r="I25" s="1">
        <v>112545.96479999999</v>
      </c>
      <c r="J25" s="1">
        <v>780779.00159999996</v>
      </c>
      <c r="K25" s="1">
        <v>140959.51199999999</v>
      </c>
      <c r="L25" s="1">
        <v>723330.6767999999</v>
      </c>
      <c r="M25" s="1">
        <v>199888.55999999997</v>
      </c>
      <c r="N25" s="1">
        <v>21180.067200000001</v>
      </c>
      <c r="O25" s="1">
        <v>617583.96</v>
      </c>
      <c r="P25" s="1">
        <v>101217.94559999999</v>
      </c>
      <c r="Q25" s="1">
        <v>714350.70719999995</v>
      </c>
      <c r="R25" s="1">
        <v>331657.80479999993</v>
      </c>
      <c r="S25" s="1">
        <v>306300.94559999998</v>
      </c>
      <c r="T25" s="1">
        <v>862281.20159999991</v>
      </c>
      <c r="U25" s="1">
        <v>971125.848</v>
      </c>
      <c r="V25" s="1">
        <v>723276.47519999987</v>
      </c>
      <c r="W25" s="1">
        <v>302871.62880000001</v>
      </c>
      <c r="X25" s="1">
        <v>664145.6399999999</v>
      </c>
      <c r="Y25" s="1">
        <v>348069.95999999996</v>
      </c>
      <c r="Z25" s="1">
        <v>1261240.4879999999</v>
      </c>
      <c r="AA25" s="1">
        <v>84300.955199999982</v>
      </c>
      <c r="AB25" s="1">
        <v>296122.46399999998</v>
      </c>
      <c r="AC25" s="1">
        <v>862420.83840000001</v>
      </c>
      <c r="AD25" s="41">
        <v>494258.16960000002</v>
      </c>
      <c r="AE25" s="41">
        <v>1089426.4992</v>
      </c>
      <c r="AF25" s="41">
        <v>186061.36319999999</v>
      </c>
      <c r="AG25" s="41">
        <v>112545.96479999999</v>
      </c>
      <c r="AH25" s="41">
        <v>780779.00159999996</v>
      </c>
      <c r="AI25" s="41">
        <v>140959.51199999999</v>
      </c>
      <c r="AJ25" s="41">
        <v>723330.6767999999</v>
      </c>
      <c r="AK25" s="41">
        <v>199888.55999999997</v>
      </c>
      <c r="AL25" s="41">
        <v>21180.067200000001</v>
      </c>
      <c r="AM25" s="41">
        <v>617583.96</v>
      </c>
      <c r="AN25" s="41">
        <v>101217.94559999999</v>
      </c>
      <c r="AO25" s="41">
        <v>714350.70719999995</v>
      </c>
      <c r="AP25" s="16"/>
    </row>
    <row r="26" spans="2:42">
      <c r="B26" s="6"/>
      <c r="C26" s="7"/>
      <c r="D26" s="8" t="s">
        <v>1</v>
      </c>
      <c r="E26" s="14" t="s">
        <v>34</v>
      </c>
      <c r="F26" s="1">
        <v>285148.94399999996</v>
      </c>
      <c r="G26" s="1">
        <v>1061492.4864000001</v>
      </c>
      <c r="H26" s="1">
        <v>449648.29439999996</v>
      </c>
      <c r="I26" s="1">
        <v>590866.31519999984</v>
      </c>
      <c r="J26" s="1">
        <v>340339.56479999999</v>
      </c>
      <c r="K26" s="1">
        <v>338302.82879999996</v>
      </c>
      <c r="L26" s="1">
        <v>338580.31679999997</v>
      </c>
      <c r="M26" s="1">
        <v>879509.66399999999</v>
      </c>
      <c r="N26" s="1">
        <v>105900.33600000001</v>
      </c>
      <c r="O26" s="1">
        <v>388195.63199999998</v>
      </c>
      <c r="P26" s="1">
        <v>657916.64639999997</v>
      </c>
      <c r="Q26" s="1">
        <v>109900.1088</v>
      </c>
      <c r="R26" s="1">
        <v>36850.867200000001</v>
      </c>
      <c r="S26" s="1">
        <v>494793.83519999997</v>
      </c>
      <c r="T26" s="1">
        <v>751732.32959999994</v>
      </c>
      <c r="U26" s="1">
        <v>302128.0416</v>
      </c>
      <c r="V26" s="1">
        <v>830428.54559999995</v>
      </c>
      <c r="W26" s="1">
        <v>530025.3504</v>
      </c>
      <c r="X26" s="1">
        <v>982935.54719999991</v>
      </c>
      <c r="Y26" s="1">
        <v>729289.44</v>
      </c>
      <c r="Z26" s="1">
        <v>322018.84799999994</v>
      </c>
      <c r="AA26" s="1">
        <v>421504.7759999999</v>
      </c>
      <c r="AB26" s="1">
        <v>710693.91359999997</v>
      </c>
      <c r="AC26" s="1">
        <v>78401.89439999999</v>
      </c>
      <c r="AD26" s="41">
        <v>285148.94399999996</v>
      </c>
      <c r="AE26" s="41">
        <v>1061492.4864000001</v>
      </c>
      <c r="AF26" s="41">
        <v>449648.29439999996</v>
      </c>
      <c r="AG26" s="41">
        <v>590866.31519999984</v>
      </c>
      <c r="AH26" s="41">
        <v>340339.56479999999</v>
      </c>
      <c r="AI26" s="41">
        <v>338302.82879999996</v>
      </c>
      <c r="AJ26" s="41">
        <v>338580.31679999997</v>
      </c>
      <c r="AK26" s="41">
        <v>879509.66399999999</v>
      </c>
      <c r="AL26" s="41">
        <v>105900.33600000001</v>
      </c>
      <c r="AM26" s="41">
        <v>388195.63199999998</v>
      </c>
      <c r="AN26" s="41">
        <v>657916.64639999997</v>
      </c>
      <c r="AO26" s="41">
        <v>109900.1088</v>
      </c>
      <c r="AP26" s="16"/>
    </row>
    <row r="27" spans="2:42">
      <c r="B27" s="6"/>
      <c r="C27" s="7" t="s">
        <v>6</v>
      </c>
      <c r="D27" s="8" t="s">
        <v>3</v>
      </c>
      <c r="E27" s="14" t="s">
        <v>35</v>
      </c>
      <c r="F27" s="1">
        <v>133069.50719999996</v>
      </c>
      <c r="G27" s="1">
        <v>40224.978431999982</v>
      </c>
      <c r="H27" s="1">
        <v>125591.42016000007</v>
      </c>
      <c r="I27" s="1">
        <v>346641.57158400002</v>
      </c>
      <c r="J27" s="1">
        <v>161160.79391999997</v>
      </c>
      <c r="K27" s="1">
        <v>621349.52889599989</v>
      </c>
      <c r="L27" s="1">
        <v>94186.888128000021</v>
      </c>
      <c r="M27" s="1">
        <v>31182.615360000025</v>
      </c>
      <c r="N27" s="1">
        <v>429531.76281599997</v>
      </c>
      <c r="O27" s="1">
        <v>162336.35520000002</v>
      </c>
      <c r="P27" s="1">
        <v>323897.42591999995</v>
      </c>
      <c r="Q27" s="1">
        <v>182983.68115199998</v>
      </c>
      <c r="R27" s="1">
        <v>397989.3657599999</v>
      </c>
      <c r="S27" s="1">
        <v>260827.03598400002</v>
      </c>
      <c r="T27" s="1">
        <v>177983.68391999998</v>
      </c>
      <c r="U27" s="1">
        <v>334067.29171200003</v>
      </c>
      <c r="V27" s="1">
        <v>225019.34783999997</v>
      </c>
      <c r="W27" s="1">
        <v>302114.44972799998</v>
      </c>
      <c r="X27" s="1">
        <v>191273.94432000001</v>
      </c>
      <c r="Y27" s="1">
        <v>210665.19960000002</v>
      </c>
      <c r="Z27" s="1">
        <v>214679.23200000002</v>
      </c>
      <c r="AA27" s="1">
        <v>865489.80671999976</v>
      </c>
      <c r="AB27" s="1">
        <v>76399.595712000038</v>
      </c>
      <c r="AC27" s="1">
        <v>342616.278528</v>
      </c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16"/>
    </row>
    <row r="28" spans="2:42">
      <c r="B28" s="6"/>
      <c r="C28" s="7"/>
      <c r="D28" s="8" t="s">
        <v>2</v>
      </c>
      <c r="E28" s="14" t="s">
        <v>36</v>
      </c>
      <c r="F28" s="1">
        <v>303968.77430399996</v>
      </c>
      <c r="G28" s="1">
        <v>212298.49728000001</v>
      </c>
      <c r="H28" s="1">
        <v>241569.66988799997</v>
      </c>
      <c r="I28" s="1">
        <v>502517.73283199995</v>
      </c>
      <c r="J28" s="1">
        <v>155555.20108799997</v>
      </c>
      <c r="K28" s="1">
        <v>281919.02399999998</v>
      </c>
      <c r="L28" s="1">
        <v>75411.070559999993</v>
      </c>
      <c r="M28" s="1">
        <v>377789.37839999987</v>
      </c>
      <c r="N28" s="1">
        <v>320242.616064</v>
      </c>
      <c r="O28" s="1">
        <v>148220.15039999998</v>
      </c>
      <c r="P28" s="1">
        <v>394243.89811200002</v>
      </c>
      <c r="Q28" s="1">
        <v>230790.22847999996</v>
      </c>
      <c r="R28" s="1">
        <v>229949.41132800002</v>
      </c>
      <c r="S28" s="1">
        <v>349183.07798399997</v>
      </c>
      <c r="T28" s="1">
        <v>30953.684159999997</v>
      </c>
      <c r="U28" s="1">
        <v>38845.033919999994</v>
      </c>
      <c r="V28" s="1">
        <v>212161.09939199995</v>
      </c>
      <c r="W28" s="1">
        <v>153328.76208000001</v>
      </c>
      <c r="X28" s="1">
        <v>210401.33875200001</v>
      </c>
      <c r="Y28" s="1">
        <v>24530.644799999998</v>
      </c>
      <c r="Z28" s="1">
        <v>242319.18312</v>
      </c>
      <c r="AA28" s="1">
        <v>61820.700480000007</v>
      </c>
      <c r="AB28" s="1">
        <v>118448.98559999999</v>
      </c>
      <c r="AC28" s="1">
        <v>42337.022976</v>
      </c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16"/>
    </row>
    <row r="29" spans="2:42">
      <c r="B29" s="6"/>
      <c r="C29" s="7"/>
      <c r="D29" s="8" t="s">
        <v>0</v>
      </c>
      <c r="E29" s="14" t="s">
        <v>37</v>
      </c>
      <c r="F29" s="1">
        <v>192760.68614400001</v>
      </c>
      <c r="G29" s="1">
        <v>413982.06969600002</v>
      </c>
      <c r="H29" s="1">
        <v>76285.158911999999</v>
      </c>
      <c r="I29" s="1">
        <v>50645.68415999999</v>
      </c>
      <c r="J29" s="1">
        <v>327927.18067199999</v>
      </c>
      <c r="K29" s="1">
        <v>56383.804799999998</v>
      </c>
      <c r="L29" s="1">
        <v>260399.04364799996</v>
      </c>
      <c r="M29" s="1">
        <v>73958.767199999987</v>
      </c>
      <c r="N29" s="1">
        <v>9107.4288960000013</v>
      </c>
      <c r="O29" s="1">
        <v>265561.10279999999</v>
      </c>
      <c r="P29" s="1">
        <v>40487.178239999994</v>
      </c>
      <c r="Q29" s="1">
        <v>271453.268736</v>
      </c>
      <c r="R29" s="1">
        <v>129346.54387199998</v>
      </c>
      <c r="S29" s="1">
        <v>107205.33095999999</v>
      </c>
      <c r="T29" s="1">
        <v>310421.23257599998</v>
      </c>
      <c r="U29" s="1">
        <v>359316.56376000005</v>
      </c>
      <c r="V29" s="1">
        <v>318241.64908799995</v>
      </c>
      <c r="W29" s="1">
        <v>121148.65152000001</v>
      </c>
      <c r="X29" s="1">
        <v>232450.97399999996</v>
      </c>
      <c r="Y29" s="1">
        <v>121824.48599999998</v>
      </c>
      <c r="Z29" s="1">
        <v>479271.38543999998</v>
      </c>
      <c r="AA29" s="1">
        <v>36249.410735999991</v>
      </c>
      <c r="AB29" s="1">
        <v>115487.76095999999</v>
      </c>
      <c r="AC29" s="1">
        <v>319095.71020800003</v>
      </c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16"/>
    </row>
    <row r="30" spans="2:42">
      <c r="B30" s="6"/>
      <c r="C30" s="7"/>
      <c r="D30" s="8" t="s">
        <v>1</v>
      </c>
      <c r="E30" s="14" t="s">
        <v>38</v>
      </c>
      <c r="F30" s="1">
        <v>111208.08815999998</v>
      </c>
      <c r="G30" s="1">
        <v>467056.69401600002</v>
      </c>
      <c r="H30" s="1">
        <v>157376.90303999998</v>
      </c>
      <c r="I30" s="1">
        <v>254072.51553599993</v>
      </c>
      <c r="J30" s="1">
        <v>129329.03462400001</v>
      </c>
      <c r="K30" s="1">
        <v>145470.21638399997</v>
      </c>
      <c r="L30" s="1">
        <v>138817.92988799998</v>
      </c>
      <c r="M30" s="1">
        <v>334213.67232000001</v>
      </c>
      <c r="N30" s="1">
        <v>37065.117600000005</v>
      </c>
      <c r="O30" s="1">
        <v>151396.29647999999</v>
      </c>
      <c r="P30" s="1">
        <v>296062.49088</v>
      </c>
      <c r="Q30" s="1">
        <v>45059.044608000004</v>
      </c>
      <c r="R30" s="1">
        <v>15108.855552000001</v>
      </c>
      <c r="S30" s="1">
        <v>217709.28748799997</v>
      </c>
      <c r="T30" s="1">
        <v>338279.54831999994</v>
      </c>
      <c r="U30" s="1">
        <v>135957.61872</v>
      </c>
      <c r="V30" s="1">
        <v>332171.41823999997</v>
      </c>
      <c r="W30" s="1">
        <v>190809.12614399998</v>
      </c>
      <c r="X30" s="1">
        <v>403003.57435199997</v>
      </c>
      <c r="Y30" s="1">
        <v>269837.09279999998</v>
      </c>
      <c r="Z30" s="1">
        <v>135247.91615999996</v>
      </c>
      <c r="AA30" s="1">
        <v>172816.95815999995</v>
      </c>
      <c r="AB30" s="1">
        <v>277170.62630399998</v>
      </c>
      <c r="AC30" s="1">
        <v>29008.700927999998</v>
      </c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16"/>
    </row>
    <row r="31" spans="2:42">
      <c r="B31" s="6"/>
      <c r="C31" s="7" t="s">
        <v>4</v>
      </c>
      <c r="D31" s="8" t="s">
        <v>3</v>
      </c>
      <c r="E31" s="14" t="s">
        <v>39</v>
      </c>
      <c r="F31" s="1">
        <v>403857.74000000005</v>
      </c>
      <c r="G31" s="1">
        <v>427594.62000000005</v>
      </c>
      <c r="H31" s="1">
        <v>324055.47200000007</v>
      </c>
      <c r="I31" s="1">
        <v>258712.788</v>
      </c>
      <c r="J31" s="1">
        <v>203701.37599999993</v>
      </c>
      <c r="K31" s="1">
        <v>23284.619999999937</v>
      </c>
      <c r="L31" s="1">
        <v>413560.97200000007</v>
      </c>
      <c r="M31" s="1">
        <v>362332.80000000005</v>
      </c>
      <c r="N31" s="1">
        <v>247188.64800000004</v>
      </c>
      <c r="O31" s="1">
        <v>211982.60400000002</v>
      </c>
      <c r="P31" s="1">
        <v>52420.72</v>
      </c>
      <c r="Q31" s="1">
        <v>310290.75200000004</v>
      </c>
      <c r="R31" s="1">
        <v>366895.00799999997</v>
      </c>
      <c r="S31" s="1">
        <v>200856.0640000001</v>
      </c>
      <c r="T31" s="1">
        <v>155969.37600000002</v>
      </c>
      <c r="U31" s="1">
        <v>225364.10400000002</v>
      </c>
      <c r="V31" s="1">
        <v>392526.70400000003</v>
      </c>
      <c r="W31" s="1">
        <v>150022.88</v>
      </c>
      <c r="X31" s="1">
        <v>149579.01999999996</v>
      </c>
      <c r="Y31" s="1">
        <v>146914.07999999996</v>
      </c>
      <c r="Z31" s="1">
        <v>127499.00799999999</v>
      </c>
      <c r="AA31" s="1">
        <v>302455.48800000001</v>
      </c>
      <c r="AB31" s="1">
        <v>97850.631999999983</v>
      </c>
      <c r="AC31" s="1">
        <v>157853.59200000003</v>
      </c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16"/>
    </row>
    <row r="32" spans="2:42">
      <c r="B32" s="6"/>
      <c r="C32" s="7"/>
      <c r="D32" s="8" t="s">
        <v>2</v>
      </c>
      <c r="E32" s="14" t="s">
        <v>40</v>
      </c>
      <c r="F32" s="1">
        <v>80771.54800000001</v>
      </c>
      <c r="G32" s="1">
        <v>45009.96</v>
      </c>
      <c r="H32" s="1">
        <v>31615.168000000001</v>
      </c>
      <c r="I32" s="1">
        <v>182991.97200000001</v>
      </c>
      <c r="J32" s="1">
        <v>216432.71200000003</v>
      </c>
      <c r="K32" s="1">
        <v>263892.36000000004</v>
      </c>
      <c r="L32" s="1">
        <v>126171.144</v>
      </c>
      <c r="M32" s="1">
        <v>211360.80000000002</v>
      </c>
      <c r="N32" s="1">
        <v>129479.768</v>
      </c>
      <c r="O32" s="1">
        <v>177473.80799999999</v>
      </c>
      <c r="P32" s="1">
        <v>171558.72</v>
      </c>
      <c r="Q32" s="1">
        <v>238130.11200000002</v>
      </c>
      <c r="R32" s="1">
        <v>221402.15999999997</v>
      </c>
      <c r="S32" s="1">
        <v>182025.80799999999</v>
      </c>
      <c r="T32" s="1">
        <v>162468.1</v>
      </c>
      <c r="U32" s="1">
        <v>112682.05200000001</v>
      </c>
      <c r="V32" s="1">
        <v>12869.728000000001</v>
      </c>
      <c r="W32" s="1">
        <v>133949</v>
      </c>
      <c r="X32" s="1">
        <v>307030.62000000005</v>
      </c>
      <c r="Y32" s="1">
        <v>36728.520000000004</v>
      </c>
      <c r="Z32" s="1">
        <v>63749.504000000008</v>
      </c>
      <c r="AA32" s="1">
        <v>176432.36800000002</v>
      </c>
      <c r="AB32" s="1">
        <v>111193.90000000001</v>
      </c>
      <c r="AC32" s="1">
        <v>151782.30000000002</v>
      </c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16"/>
    </row>
    <row r="33" spans="2:42">
      <c r="B33" s="6"/>
      <c r="C33" s="7"/>
      <c r="D33" s="8" t="s">
        <v>0</v>
      </c>
      <c r="E33" s="14" t="s">
        <v>41</v>
      </c>
      <c r="F33" s="1">
        <v>190914.56800000003</v>
      </c>
      <c r="G33" s="1">
        <v>172538.18000000002</v>
      </c>
      <c r="H33" s="1">
        <v>276632.71999999997</v>
      </c>
      <c r="I33" s="1">
        <v>6310.0680000000002</v>
      </c>
      <c r="J33" s="1">
        <v>203701.37600000002</v>
      </c>
      <c r="K33" s="1">
        <v>248369.28000000003</v>
      </c>
      <c r="L33" s="1">
        <v>84114.096000000005</v>
      </c>
      <c r="M33" s="1">
        <v>67937.400000000009</v>
      </c>
      <c r="N33" s="1">
        <v>82396.216000000015</v>
      </c>
      <c r="O33" s="1">
        <v>73947.42</v>
      </c>
      <c r="P33" s="1">
        <v>128669.04000000002</v>
      </c>
      <c r="Q33" s="1">
        <v>86592.767999999996</v>
      </c>
      <c r="R33" s="1">
        <v>25303.104000000003</v>
      </c>
      <c r="S33" s="1">
        <v>62767.520000000011</v>
      </c>
      <c r="T33" s="1">
        <v>240452.788</v>
      </c>
      <c r="U33" s="1">
        <v>59023.932000000001</v>
      </c>
      <c r="V33" s="1">
        <v>12869.728000000001</v>
      </c>
      <c r="W33" s="1">
        <v>80369.400000000009</v>
      </c>
      <c r="X33" s="1">
        <v>251922.56000000003</v>
      </c>
      <c r="Y33" s="1">
        <v>62438.484000000011</v>
      </c>
      <c r="Z33" s="1">
        <v>147114.23999999999</v>
      </c>
      <c r="AA33" s="1">
        <v>50409.248000000007</v>
      </c>
      <c r="AB33" s="1">
        <v>66716.340000000011</v>
      </c>
      <c r="AC33" s="1">
        <v>66784.212</v>
      </c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16"/>
    </row>
    <row r="34" spans="2:42">
      <c r="B34" s="6"/>
      <c r="C34" s="7"/>
      <c r="D34" s="8" t="s">
        <v>1</v>
      </c>
      <c r="E34" s="14" t="s">
        <v>42</v>
      </c>
      <c r="F34" s="1">
        <v>58742.94400000001</v>
      </c>
      <c r="G34" s="1">
        <v>105023.24000000002</v>
      </c>
      <c r="H34" s="1">
        <v>158075.84000000003</v>
      </c>
      <c r="I34" s="1">
        <v>182991.97200000001</v>
      </c>
      <c r="J34" s="1">
        <v>12731.336000000001</v>
      </c>
      <c r="K34" s="1">
        <v>240607.74</v>
      </c>
      <c r="L34" s="1">
        <v>77104.588000000003</v>
      </c>
      <c r="M34" s="1">
        <v>113229</v>
      </c>
      <c r="N34" s="1">
        <v>129479.768</v>
      </c>
      <c r="O34" s="1">
        <v>29578.968000000001</v>
      </c>
      <c r="P34" s="1">
        <v>123903.52</v>
      </c>
      <c r="Q34" s="1">
        <v>86592.767999999996</v>
      </c>
      <c r="R34" s="1">
        <v>18977.328000000001</v>
      </c>
      <c r="S34" s="1">
        <v>182025.80799999999</v>
      </c>
      <c r="T34" s="1">
        <v>90982.136000000013</v>
      </c>
      <c r="U34" s="1">
        <v>139511.11200000002</v>
      </c>
      <c r="V34" s="1">
        <v>225220.24</v>
      </c>
      <c r="W34" s="1">
        <v>171454.72</v>
      </c>
      <c r="X34" s="1">
        <v>78725.8</v>
      </c>
      <c r="Y34" s="1">
        <v>121204.11600000002</v>
      </c>
      <c r="Z34" s="1">
        <v>152018.04800000001</v>
      </c>
      <c r="AA34" s="1">
        <v>100818.49600000001</v>
      </c>
      <c r="AB34" s="1">
        <v>169014.728</v>
      </c>
      <c r="AC34" s="1">
        <v>230709.09600000002</v>
      </c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16"/>
    </row>
    <row r="35" spans="2:42">
      <c r="B35" s="6"/>
      <c r="C35" s="7" t="s">
        <v>9</v>
      </c>
      <c r="D35" s="8" t="s">
        <v>9</v>
      </c>
      <c r="E35" s="14" t="s">
        <v>43</v>
      </c>
      <c r="F35" s="1">
        <v>132013.4</v>
      </c>
      <c r="G35" s="1">
        <v>174587.58000000002</v>
      </c>
      <c r="H35" s="1">
        <v>75372.08</v>
      </c>
      <c r="I35" s="1">
        <v>156313.84</v>
      </c>
      <c r="J35" s="1">
        <v>69513.8</v>
      </c>
      <c r="K35" s="1">
        <v>176199.38999999998</v>
      </c>
      <c r="L35" s="1">
        <v>74812.570000000007</v>
      </c>
      <c r="M35" s="1">
        <v>138811.5</v>
      </c>
      <c r="N35" s="1">
        <v>102958.66</v>
      </c>
      <c r="O35" s="1">
        <v>61268.25</v>
      </c>
      <c r="P35" s="1">
        <v>87862.8</v>
      </c>
      <c r="Q35" s="1">
        <v>76319.520000000004</v>
      </c>
      <c r="R35" s="1">
        <v>127954.40000000001</v>
      </c>
      <c r="S35" s="1">
        <v>81811.150000000009</v>
      </c>
      <c r="T35" s="1">
        <v>153540.1</v>
      </c>
      <c r="U35" s="1">
        <v>89919.060000000012</v>
      </c>
      <c r="V35" s="1">
        <v>167425.11000000002</v>
      </c>
      <c r="W35" s="1">
        <v>105163.76000000001</v>
      </c>
      <c r="X35" s="1">
        <v>147587.92000000001</v>
      </c>
      <c r="Y35" s="1">
        <v>80571.750000000015</v>
      </c>
      <c r="Z35" s="1">
        <v>93176.75</v>
      </c>
      <c r="AA35" s="1">
        <v>97570.549999999988</v>
      </c>
      <c r="AB35" s="1">
        <v>102820.30000000002</v>
      </c>
      <c r="AC35" s="1">
        <v>136114.4</v>
      </c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16"/>
    </row>
    <row r="36" spans="2:42">
      <c r="B36" s="6"/>
      <c r="C36" s="7" t="s">
        <v>10</v>
      </c>
      <c r="D36" s="8" t="s">
        <v>10</v>
      </c>
      <c r="E36" s="14" t="s">
        <v>44</v>
      </c>
      <c r="F36" s="1">
        <v>73428.679999999993</v>
      </c>
      <c r="G36" s="1">
        <v>75016.600000000006</v>
      </c>
      <c r="H36" s="1">
        <v>71134.128000000012</v>
      </c>
      <c r="I36" s="1">
        <v>37860.408000000003</v>
      </c>
      <c r="J36" s="1">
        <v>31828.34</v>
      </c>
      <c r="K36" s="1">
        <v>46569.24</v>
      </c>
      <c r="L36" s="1">
        <v>35047.54</v>
      </c>
      <c r="M36" s="1">
        <v>67937.400000000009</v>
      </c>
      <c r="N36" s="1">
        <v>35312.664000000004</v>
      </c>
      <c r="O36" s="1">
        <v>44368.452000000005</v>
      </c>
      <c r="P36" s="1">
        <v>23827.599999999999</v>
      </c>
      <c r="Q36" s="1">
        <v>64944.576000000015</v>
      </c>
      <c r="R36" s="1">
        <v>63257.75999999998</v>
      </c>
      <c r="S36" s="1">
        <v>62767.520000000011</v>
      </c>
      <c r="T36" s="1">
        <v>32493.62</v>
      </c>
      <c r="U36" s="1">
        <v>32194.872000000003</v>
      </c>
      <c r="V36" s="1">
        <v>32174.32</v>
      </c>
      <c r="W36" s="1">
        <v>53579.6</v>
      </c>
      <c r="X36" s="1">
        <v>70853.22</v>
      </c>
      <c r="Y36" s="1">
        <v>29382.816000000003</v>
      </c>
      <c r="Z36" s="1">
        <v>34326.656000000003</v>
      </c>
      <c r="AA36" s="1">
        <v>50409.248000000007</v>
      </c>
      <c r="AB36" s="1">
        <v>22238.78</v>
      </c>
      <c r="AC36" s="1">
        <v>30356.460000000006</v>
      </c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16"/>
    </row>
    <row r="37" spans="2:42">
      <c r="B37" s="9"/>
      <c r="C37" s="7" t="s">
        <v>11</v>
      </c>
      <c r="D37" s="8" t="s">
        <v>11</v>
      </c>
      <c r="E37" s="14" t="s">
        <v>45</v>
      </c>
      <c r="F37" s="1">
        <v>0</v>
      </c>
      <c r="G37" s="1">
        <v>48130.426800000023</v>
      </c>
      <c r="H37" s="1">
        <v>0</v>
      </c>
      <c r="I37" s="1">
        <v>101301.02527999994</v>
      </c>
      <c r="J37" s="1">
        <v>0</v>
      </c>
      <c r="K37" s="1">
        <v>30196.580699999973</v>
      </c>
      <c r="L37" s="1">
        <v>0</v>
      </c>
      <c r="M37" s="1">
        <v>0</v>
      </c>
      <c r="N37" s="1">
        <v>26406.936359999938</v>
      </c>
      <c r="O37" s="1">
        <v>6158.4157799999793</v>
      </c>
      <c r="P37" s="1">
        <v>157513.81279999996</v>
      </c>
      <c r="Q37" s="1">
        <v>0</v>
      </c>
      <c r="R37" s="1">
        <v>0</v>
      </c>
      <c r="S37" s="1">
        <v>26751.232500000006</v>
      </c>
      <c r="T37" s="1">
        <v>11494.103999999894</v>
      </c>
      <c r="U37" s="1">
        <v>70926.959879999966</v>
      </c>
      <c r="V37" s="1">
        <v>89896.023999999961</v>
      </c>
      <c r="W37" s="1">
        <v>9694.4175999999588</v>
      </c>
      <c r="X37" s="1">
        <v>0</v>
      </c>
      <c r="Y37" s="1">
        <v>55011.67542</v>
      </c>
      <c r="Z37" s="1">
        <v>133381.00021999999</v>
      </c>
      <c r="AA37" s="1">
        <v>104286.16671999989</v>
      </c>
      <c r="AB37" s="1">
        <v>537.50880000000586</v>
      </c>
      <c r="AC37" s="1">
        <v>0</v>
      </c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16"/>
    </row>
    <row r="38" spans="2:42">
      <c r="B38" s="19"/>
      <c r="C38" s="10"/>
      <c r="D38" s="11"/>
      <c r="AP38" s="16"/>
    </row>
    <row r="39" spans="2:42">
      <c r="B39" s="59"/>
      <c r="C39" s="60" t="s">
        <v>73</v>
      </c>
      <c r="D39" s="11" t="s">
        <v>74</v>
      </c>
      <c r="E39" t="s">
        <v>81</v>
      </c>
      <c r="F39" s="58">
        <v>1244517.6016000002</v>
      </c>
      <c r="G39" s="58">
        <v>1298582.071</v>
      </c>
      <c r="H39" s="58">
        <v>628975.90500000003</v>
      </c>
      <c r="I39" s="58">
        <v>917012.09600000002</v>
      </c>
      <c r="J39" s="58">
        <v>1155947.0682000001</v>
      </c>
      <c r="K39" s="58">
        <v>721759.60489999992</v>
      </c>
      <c r="L39" s="58">
        <v>989620.59600000014</v>
      </c>
      <c r="M39" s="58">
        <v>873898.87199999997</v>
      </c>
      <c r="N39" s="58">
        <v>915263.55</v>
      </c>
      <c r="O39" s="58">
        <v>1074178.2844</v>
      </c>
      <c r="P39" s="58">
        <v>845791.76799999992</v>
      </c>
      <c r="Q39" s="58">
        <v>975587.78200000001</v>
      </c>
      <c r="R39" s="58">
        <v>1097002.52</v>
      </c>
      <c r="S39" s="58">
        <v>741072.12319999991</v>
      </c>
      <c r="T39" s="58">
        <v>611936.84159999993</v>
      </c>
      <c r="U39" s="58">
        <v>849454.45479999995</v>
      </c>
      <c r="V39" s="58">
        <v>967649.78339999996</v>
      </c>
      <c r="W39" s="58">
        <v>771242.29649999994</v>
      </c>
      <c r="X39" s="58">
        <v>1359452.2239999999</v>
      </c>
      <c r="Y39" s="58">
        <v>1032327.1247999999</v>
      </c>
      <c r="Z39" s="58">
        <v>1057655.7381999998</v>
      </c>
      <c r="AA39" s="58">
        <v>1385434.8900000001</v>
      </c>
      <c r="AB39" s="58">
        <v>1299738.0209000001</v>
      </c>
      <c r="AC39" s="58">
        <v>1383847.095</v>
      </c>
      <c r="AP39" s="16"/>
    </row>
    <row r="40" spans="2:42">
      <c r="B40" s="59"/>
      <c r="C40" s="60"/>
      <c r="D40" s="11" t="s">
        <v>75</v>
      </c>
      <c r="E40" t="s">
        <v>82</v>
      </c>
      <c r="F40" s="58">
        <v>515604.96</v>
      </c>
      <c r="G40" s="58">
        <v>531399.15</v>
      </c>
      <c r="H40" s="58">
        <v>229553.25</v>
      </c>
      <c r="I40" s="58">
        <v>245190.39999999999</v>
      </c>
      <c r="J40" s="58">
        <v>346563.58000000007</v>
      </c>
      <c r="K40" s="58">
        <v>322462.31</v>
      </c>
      <c r="L40" s="58">
        <v>440168.67</v>
      </c>
      <c r="M40" s="58">
        <v>269268.56</v>
      </c>
      <c r="N40" s="58">
        <v>352545.96</v>
      </c>
      <c r="O40" s="58">
        <v>323016.98</v>
      </c>
      <c r="P40" s="58">
        <v>240151.8</v>
      </c>
      <c r="Q40" s="58">
        <v>258776.6</v>
      </c>
      <c r="R40" s="58">
        <v>403309.75</v>
      </c>
      <c r="S40" s="58">
        <v>304503.84000000003</v>
      </c>
      <c r="T40" s="58">
        <v>282222.78000000003</v>
      </c>
      <c r="U40" s="58">
        <v>351929.88</v>
      </c>
      <c r="V40" s="58">
        <v>295424.58</v>
      </c>
      <c r="W40" s="58">
        <v>252219.15</v>
      </c>
      <c r="X40" s="58">
        <v>474227.52</v>
      </c>
      <c r="Y40" s="58">
        <v>425929.58999999991</v>
      </c>
      <c r="Z40" s="58">
        <v>413768.41999999993</v>
      </c>
      <c r="AA40" s="58">
        <v>426884.7</v>
      </c>
      <c r="AB40" s="58">
        <v>367999.17</v>
      </c>
      <c r="AC40" s="58">
        <v>396301.5</v>
      </c>
      <c r="AP40" s="16"/>
    </row>
    <row r="41" spans="2:42">
      <c r="B41" s="59"/>
      <c r="C41" s="60"/>
      <c r="D41" s="11" t="s">
        <v>76</v>
      </c>
      <c r="E41" t="s">
        <v>83</v>
      </c>
      <c r="F41" s="58">
        <v>149525.43839999998</v>
      </c>
      <c r="G41" s="58">
        <v>138163.77900000001</v>
      </c>
      <c r="H41" s="58">
        <v>59683.845000000001</v>
      </c>
      <c r="I41" s="58">
        <v>63749.503999999994</v>
      </c>
      <c r="J41" s="58">
        <v>72778.351800000019</v>
      </c>
      <c r="K41" s="58">
        <v>67717.085099999997</v>
      </c>
      <c r="L41" s="58">
        <v>88033.733999999997</v>
      </c>
      <c r="M41" s="58">
        <v>80780.567999999999</v>
      </c>
      <c r="N41" s="58">
        <v>88136.49</v>
      </c>
      <c r="O41" s="58">
        <v>71063.7356</v>
      </c>
      <c r="P41" s="58">
        <v>57636.431999999993</v>
      </c>
      <c r="Q41" s="58">
        <v>59518.617999999995</v>
      </c>
      <c r="R41" s="58">
        <v>112926.73</v>
      </c>
      <c r="S41" s="58">
        <v>82216.036800000002</v>
      </c>
      <c r="T41" s="58">
        <v>79022.378400000001</v>
      </c>
      <c r="U41" s="58">
        <v>102059.66519999999</v>
      </c>
      <c r="V41" s="58">
        <v>79764.636599999998</v>
      </c>
      <c r="W41" s="58">
        <v>73143.553499999995</v>
      </c>
      <c r="X41" s="58">
        <v>142268.25600000002</v>
      </c>
      <c r="Y41" s="58">
        <v>119260.28519999998</v>
      </c>
      <c r="Z41" s="58">
        <v>119992.84179999998</v>
      </c>
      <c r="AA41" s="58">
        <v>128065.41</v>
      </c>
      <c r="AB41" s="58">
        <v>84639.809099999999</v>
      </c>
      <c r="AC41" s="58">
        <v>107001.405</v>
      </c>
      <c r="AP41" s="16"/>
    </row>
    <row r="42" spans="2:42">
      <c r="B42" s="59"/>
      <c r="C42" s="60" t="s">
        <v>77</v>
      </c>
      <c r="D42" s="11" t="s">
        <v>78</v>
      </c>
      <c r="E42" t="s">
        <v>84</v>
      </c>
      <c r="F42" s="58">
        <v>76385.919999999998</v>
      </c>
      <c r="G42" s="58">
        <v>47235.48000000001</v>
      </c>
      <c r="H42" s="58">
        <v>25709.964</v>
      </c>
      <c r="I42" s="58">
        <v>34326.656000000003</v>
      </c>
      <c r="J42" s="58">
        <v>63011.560000000012</v>
      </c>
      <c r="K42" s="58">
        <v>40029.804000000004</v>
      </c>
      <c r="L42" s="58">
        <v>60712.920000000013</v>
      </c>
      <c r="M42" s="58">
        <v>44062.127999999997</v>
      </c>
      <c r="N42" s="58">
        <v>48814.056000000004</v>
      </c>
      <c r="O42" s="58">
        <v>29365.180000000004</v>
      </c>
      <c r="P42" s="58">
        <v>41168.880000000005</v>
      </c>
      <c r="Q42" s="58">
        <v>25877.66</v>
      </c>
      <c r="R42" s="58">
        <v>45170.692000000003</v>
      </c>
      <c r="S42" s="58">
        <v>32937.436000000002</v>
      </c>
      <c r="T42" s="58">
        <v>38927.280000000006</v>
      </c>
      <c r="U42" s="58">
        <v>31282.656000000006</v>
      </c>
      <c r="V42" s="58">
        <v>26856.780000000006</v>
      </c>
      <c r="W42" s="58">
        <v>43864.2</v>
      </c>
      <c r="X42" s="58">
        <v>79037.920000000013</v>
      </c>
      <c r="Y42" s="58">
        <v>63100.68</v>
      </c>
      <c r="Z42" s="58">
        <v>44559.676000000007</v>
      </c>
      <c r="AA42" s="58">
        <v>46569.24</v>
      </c>
      <c r="AB42" s="58">
        <v>70095.08</v>
      </c>
      <c r="AC42" s="58">
        <v>45291.600000000006</v>
      </c>
      <c r="AP42" s="16"/>
    </row>
    <row r="43" spans="2:42">
      <c r="B43" s="59"/>
      <c r="C43" s="60"/>
      <c r="D43" s="11" t="s">
        <v>75</v>
      </c>
      <c r="E43" t="s">
        <v>85</v>
      </c>
      <c r="F43" s="58">
        <v>328459.45600000001</v>
      </c>
      <c r="G43" s="58">
        <v>393629.00000000006</v>
      </c>
      <c r="H43" s="58">
        <v>168951.19199999998</v>
      </c>
      <c r="I43" s="58">
        <v>220671.35999999999</v>
      </c>
      <c r="J43" s="58">
        <v>296154.33200000005</v>
      </c>
      <c r="K43" s="58">
        <v>195701.26400000002</v>
      </c>
      <c r="L43" s="58">
        <v>254994.26400000002</v>
      </c>
      <c r="M43" s="58">
        <v>244789.59999999998</v>
      </c>
      <c r="N43" s="58">
        <v>260341.63200000004</v>
      </c>
      <c r="O43" s="58">
        <v>281905.72800000006</v>
      </c>
      <c r="P43" s="58">
        <v>210418.72000000003</v>
      </c>
      <c r="Q43" s="58">
        <v>227723.40799999997</v>
      </c>
      <c r="R43" s="58">
        <v>322647.8</v>
      </c>
      <c r="S43" s="58">
        <v>211740.66</v>
      </c>
      <c r="T43" s="58">
        <v>171280.03200000004</v>
      </c>
      <c r="U43" s="58">
        <v>208551.04000000004</v>
      </c>
      <c r="V43" s="58">
        <v>236339.66400000005</v>
      </c>
      <c r="W43" s="58">
        <v>179843.22</v>
      </c>
      <c r="X43" s="58">
        <v>379382.01600000006</v>
      </c>
      <c r="Y43" s="58">
        <v>252402.72</v>
      </c>
      <c r="Z43" s="58">
        <v>292820.728</v>
      </c>
      <c r="AA43" s="58">
        <v>388077</v>
      </c>
      <c r="AB43" s="58">
        <v>287389.82799999998</v>
      </c>
      <c r="AC43" s="58">
        <v>332138.40000000002</v>
      </c>
      <c r="AP43" s="16"/>
    </row>
    <row r="44" spans="2:42">
      <c r="B44" s="59"/>
      <c r="C44" s="60"/>
      <c r="D44" s="11" t="s">
        <v>76</v>
      </c>
      <c r="E44" t="s">
        <v>86</v>
      </c>
      <c r="F44" s="58">
        <v>82114.864000000001</v>
      </c>
      <c r="G44" s="58">
        <v>86598.380000000019</v>
      </c>
      <c r="H44" s="58">
        <v>40548.286079999998</v>
      </c>
      <c r="I44" s="58">
        <v>48547.699200000003</v>
      </c>
      <c r="J44" s="58">
        <v>85884.756280000031</v>
      </c>
      <c r="K44" s="58">
        <v>45011.290720000005</v>
      </c>
      <c r="L44" s="58">
        <v>71398.393920000002</v>
      </c>
      <c r="M44" s="58">
        <v>70988.983999999997</v>
      </c>
      <c r="N44" s="58">
        <v>70292.240640000018</v>
      </c>
      <c r="O44" s="58">
        <v>70476.432000000015</v>
      </c>
      <c r="P44" s="58">
        <v>48396.305600000007</v>
      </c>
      <c r="Q44" s="58">
        <v>56930.851999999992</v>
      </c>
      <c r="R44" s="58">
        <v>96794.34</v>
      </c>
      <c r="S44" s="58">
        <v>59287.384800000007</v>
      </c>
      <c r="T44" s="58">
        <v>41107.207680000014</v>
      </c>
      <c r="U44" s="58">
        <v>62565.312000000013</v>
      </c>
      <c r="V44" s="58">
        <v>54358.122720000007</v>
      </c>
      <c r="W44" s="58">
        <v>52154.533799999997</v>
      </c>
      <c r="X44" s="58">
        <v>106226.96448000002</v>
      </c>
      <c r="Y44" s="58">
        <v>65624.707200000004</v>
      </c>
      <c r="Z44" s="58">
        <v>73205.182000000001</v>
      </c>
      <c r="AA44" s="58">
        <v>100900.02</v>
      </c>
      <c r="AB44" s="58">
        <v>60351.86387999999</v>
      </c>
      <c r="AC44" s="58">
        <v>89677.368000000002</v>
      </c>
      <c r="AP44" s="16"/>
    </row>
    <row r="45" spans="2:42">
      <c r="B45" s="59"/>
      <c r="C45" s="60"/>
      <c r="D45" s="11" t="s">
        <v>79</v>
      </c>
      <c r="E45" t="s">
        <v>87</v>
      </c>
      <c r="F45" s="58">
        <v>137494.65599999999</v>
      </c>
      <c r="G45" s="58">
        <v>125961.28000000001</v>
      </c>
      <c r="H45" s="58">
        <v>69784.187999999995</v>
      </c>
      <c r="I45" s="58">
        <v>73557.119999999995</v>
      </c>
      <c r="J45" s="58">
        <v>113420.808</v>
      </c>
      <c r="K45" s="58">
        <v>71164.096000000005</v>
      </c>
      <c r="L45" s="58">
        <v>91069.380000000019</v>
      </c>
      <c r="M45" s="58">
        <v>93020.047999999995</v>
      </c>
      <c r="N45" s="58">
        <v>108475.68</v>
      </c>
      <c r="O45" s="58">
        <v>105714.648</v>
      </c>
      <c r="P45" s="58">
        <v>77763.44</v>
      </c>
      <c r="Q45" s="58">
        <v>87984.04399999998</v>
      </c>
      <c r="R45" s="58">
        <v>109700.25199999999</v>
      </c>
      <c r="S45" s="58">
        <v>75285.567999999999</v>
      </c>
      <c r="T45" s="58">
        <v>73961.832000000009</v>
      </c>
      <c r="U45" s="58">
        <v>88634.19200000001</v>
      </c>
      <c r="V45" s="58">
        <v>80570.340000000026</v>
      </c>
      <c r="W45" s="58">
        <v>65796.3</v>
      </c>
      <c r="X45" s="58">
        <v>158075.84000000003</v>
      </c>
      <c r="Y45" s="58">
        <v>94651.02</v>
      </c>
      <c r="Z45" s="58">
        <v>120947.69200000001</v>
      </c>
      <c r="AA45" s="58">
        <v>147469.26</v>
      </c>
      <c r="AB45" s="58">
        <v>112152.12800000001</v>
      </c>
      <c r="AC45" s="58">
        <v>150972.00000000003</v>
      </c>
      <c r="AP45" s="16"/>
    </row>
    <row r="46" spans="2:42">
      <c r="B46" s="59"/>
      <c r="C46" s="60"/>
      <c r="D46" s="11" t="s">
        <v>80</v>
      </c>
      <c r="E46" t="s">
        <v>88</v>
      </c>
      <c r="F46" s="58">
        <v>139404.30399999992</v>
      </c>
      <c r="G46" s="58">
        <v>133833.86000000004</v>
      </c>
      <c r="H46" s="58">
        <v>62291.569920000067</v>
      </c>
      <c r="I46" s="58">
        <v>113277.96479999999</v>
      </c>
      <c r="J46" s="58">
        <v>71644.143719999949</v>
      </c>
      <c r="K46" s="58">
        <v>92869.145280000012</v>
      </c>
      <c r="L46" s="58">
        <v>128954.24207999998</v>
      </c>
      <c r="M46" s="58">
        <v>36718.439999999959</v>
      </c>
      <c r="N46" s="58">
        <v>54454.791359999974</v>
      </c>
      <c r="O46" s="58">
        <v>99841.61199999995</v>
      </c>
      <c r="P46" s="58">
        <v>79684.654399999999</v>
      </c>
      <c r="Q46" s="58">
        <v>119037.23600000002</v>
      </c>
      <c r="R46" s="58">
        <v>70982.51599999996</v>
      </c>
      <c r="S46" s="58">
        <v>91283.751199999999</v>
      </c>
      <c r="T46" s="58">
        <v>63996.448319999952</v>
      </c>
      <c r="U46" s="58">
        <v>130344.40000000002</v>
      </c>
      <c r="V46" s="58">
        <v>139010.69327999998</v>
      </c>
      <c r="W46" s="58">
        <v>96983.74619999998</v>
      </c>
      <c r="X46" s="58">
        <v>67656.459520000033</v>
      </c>
      <c r="Y46" s="58">
        <v>155227.6728</v>
      </c>
      <c r="Z46" s="58">
        <v>105033.52200000006</v>
      </c>
      <c r="AA46" s="58">
        <v>93138.479999999981</v>
      </c>
      <c r="AB46" s="58">
        <v>170961.90012000012</v>
      </c>
      <c r="AC46" s="58">
        <v>136780.63200000007</v>
      </c>
      <c r="AP46" s="16"/>
    </row>
    <row r="47" spans="2:42">
      <c r="B47" s="59"/>
      <c r="C47" s="60"/>
      <c r="D47" s="11"/>
      <c r="AP47" s="16"/>
    </row>
    <row r="48" spans="2:42">
      <c r="B48" s="59"/>
      <c r="C48" s="60"/>
      <c r="D48" s="11"/>
      <c r="AP48" s="16"/>
    </row>
    <row r="49" spans="2:42">
      <c r="B49" s="59"/>
      <c r="C49" s="60"/>
      <c r="D49" s="11"/>
      <c r="AP49" s="16"/>
    </row>
    <row r="50" spans="2:42">
      <c r="B50" s="20"/>
      <c r="C50" s="21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</row>
  </sheetData>
  <conditionalFormatting sqref="E4:E37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V28"/>
  <sheetViews>
    <sheetView zoomScaleNormal="100" workbookViewId="0">
      <selection activeCell="J5" sqref="J5"/>
    </sheetView>
  </sheetViews>
  <sheetFormatPr defaultRowHeight="15"/>
  <cols>
    <col min="1" max="1" width="3.28515625" customWidth="1"/>
    <col min="2" max="2" width="11.42578125" customWidth="1"/>
    <col min="3" max="5" width="7.7109375" customWidth="1"/>
    <col min="6" max="6" width="8.85546875" customWidth="1"/>
    <col min="7" max="8" width="3.28515625" customWidth="1"/>
    <col min="9" max="9" width="23.28515625" bestFit="1" customWidth="1"/>
    <col min="10" max="10" width="10.5703125" customWidth="1"/>
    <col min="11" max="12" width="10.140625" customWidth="1"/>
    <col min="13" max="13" width="10.5703125" bestFit="1" customWidth="1"/>
    <col min="14" max="20" width="10.140625" customWidth="1"/>
    <col min="21" max="22" width="11.42578125" customWidth="1"/>
  </cols>
  <sheetData>
    <row r="2" spans="2:22">
      <c r="I2" t="s">
        <v>47</v>
      </c>
    </row>
    <row r="3" spans="2:22">
      <c r="B3" s="57" t="s">
        <v>72</v>
      </c>
      <c r="C3" s="57"/>
      <c r="D3" s="57"/>
      <c r="E3" s="57"/>
      <c r="F3" s="57"/>
      <c r="I3" s="26" t="s">
        <v>48</v>
      </c>
      <c r="J3" s="28" t="s">
        <v>49</v>
      </c>
    </row>
    <row r="4" spans="2:22">
      <c r="B4" s="50"/>
      <c r="C4" s="51" t="s">
        <v>7</v>
      </c>
      <c r="D4" s="51" t="s">
        <v>8</v>
      </c>
      <c r="E4" s="51" t="s">
        <v>59</v>
      </c>
      <c r="F4" s="51" t="s">
        <v>70</v>
      </c>
      <c r="I4" s="22" t="s">
        <v>50</v>
      </c>
      <c r="J4" s="29"/>
    </row>
    <row r="5" spans="2:22">
      <c r="B5" s="52"/>
      <c r="C5" s="52"/>
      <c r="D5" s="52"/>
      <c r="E5" s="52"/>
      <c r="F5" s="52"/>
      <c r="I5" s="22" t="s">
        <v>51</v>
      </c>
      <c r="J5" s="29" t="s">
        <v>53</v>
      </c>
    </row>
    <row r="6" spans="2:22">
      <c r="B6" s="52" t="s">
        <v>5</v>
      </c>
      <c r="C6" s="53">
        <f ca="1">SUM(Таблица!$K$24:$V$24)</f>
        <v>26039.606399999997</v>
      </c>
      <c r="D6" s="53">
        <f>SUM(Таблица!$K$23:$V$23)</f>
        <v>23090.204984</v>
      </c>
      <c r="E6" s="53">
        <f ca="1">D6-C6</f>
        <v>-2949.401415999997</v>
      </c>
      <c r="F6" s="54">
        <f t="shared" ref="F6:F7" ca="1" si="0">D6/C6</f>
        <v>0.88673402467404439</v>
      </c>
      <c r="I6" s="22" t="s">
        <v>52</v>
      </c>
      <c r="J6" s="31">
        <v>1000</v>
      </c>
    </row>
    <row r="7" spans="2:22">
      <c r="B7" s="52" t="s">
        <v>62</v>
      </c>
      <c r="C7" s="53">
        <f ca="1">SUM(Таблица!$K$26:$V$26)</f>
        <v>17898.642781136001</v>
      </c>
      <c r="D7" s="53">
        <f ca="1">SUM(Таблица!$K$25:$V$25)</f>
        <v>22305.548999999999</v>
      </c>
      <c r="E7" s="53">
        <f ca="1">D7-C7</f>
        <v>4406.9062188639982</v>
      </c>
      <c r="F7" s="54">
        <f t="shared" ca="1" si="0"/>
        <v>1.2462145466978418</v>
      </c>
      <c r="I7" s="24"/>
      <c r="J7" s="30"/>
    </row>
    <row r="8" spans="2:22">
      <c r="B8" s="52"/>
      <c r="C8" s="52"/>
      <c r="D8" s="52"/>
      <c r="E8" s="52"/>
      <c r="F8" s="52"/>
    </row>
    <row r="9" spans="2:22">
      <c r="B9" s="52" t="s">
        <v>63</v>
      </c>
      <c r="C9" s="55">
        <f t="shared" ref="C9:D9" ca="1" si="1">C6-C7</f>
        <v>8140.9636188639961</v>
      </c>
      <c r="D9" s="55">
        <f t="shared" ca="1" si="1"/>
        <v>784.6559840000009</v>
      </c>
      <c r="E9" s="55">
        <f ca="1">D9-C9</f>
        <v>-7356.3076348639952</v>
      </c>
      <c r="F9" s="56">
        <f ca="1">D9/C9</f>
        <v>9.6383674063082611E-2</v>
      </c>
    </row>
    <row r="10" spans="2:22">
      <c r="B10" s="52"/>
      <c r="C10" s="52"/>
      <c r="D10" s="52"/>
      <c r="E10" s="52"/>
      <c r="F10" s="52"/>
      <c r="I10" s="26" t="s">
        <v>54</v>
      </c>
      <c r="J10" s="27" t="s">
        <v>55</v>
      </c>
      <c r="K10" s="27">
        <f t="shared" ref="K10:U10" si="2">L10-1</f>
        <v>8</v>
      </c>
      <c r="L10" s="27">
        <f t="shared" si="2"/>
        <v>9</v>
      </c>
      <c r="M10" s="27">
        <f t="shared" si="2"/>
        <v>10</v>
      </c>
      <c r="N10" s="27">
        <f t="shared" si="2"/>
        <v>11</v>
      </c>
      <c r="O10" s="27">
        <f t="shared" si="2"/>
        <v>12</v>
      </c>
      <c r="P10" s="27">
        <f t="shared" si="2"/>
        <v>13</v>
      </c>
      <c r="Q10" s="27">
        <f t="shared" si="2"/>
        <v>14</v>
      </c>
      <c r="R10" s="27">
        <f t="shared" si="2"/>
        <v>15</v>
      </c>
      <c r="S10" s="27">
        <f t="shared" si="2"/>
        <v>16</v>
      </c>
      <c r="T10" s="27">
        <f t="shared" si="2"/>
        <v>17</v>
      </c>
      <c r="U10" s="27">
        <f t="shared" si="2"/>
        <v>18</v>
      </c>
      <c r="V10" s="28">
        <f>ВыборДат</f>
        <v>19</v>
      </c>
    </row>
    <row r="11" spans="2:22">
      <c r="I11" s="22" t="s">
        <v>57</v>
      </c>
      <c r="J11" s="23">
        <f>MATCH(I11,код,0)</f>
        <v>6</v>
      </c>
      <c r="K11" s="32">
        <f t="shared" ref="K11:V11" si="3">INDEX(база,$J11,K$10)</f>
        <v>1541967.8399999999</v>
      </c>
      <c r="L11" s="32">
        <f t="shared" si="3"/>
        <v>1639810.0799999998</v>
      </c>
      <c r="M11" s="32">
        <f t="shared" si="3"/>
        <v>1737666.7199999997</v>
      </c>
      <c r="N11" s="32">
        <f t="shared" si="3"/>
        <v>2072674.08</v>
      </c>
      <c r="O11" s="32">
        <f t="shared" si="3"/>
        <v>1587978.7199999997</v>
      </c>
      <c r="P11" s="32">
        <f t="shared" si="3"/>
        <v>2247266.7199999997</v>
      </c>
      <c r="Q11" s="32">
        <f t="shared" si="3"/>
        <v>1798318.584</v>
      </c>
      <c r="R11" s="32">
        <f t="shared" si="3"/>
        <v>1652902.4</v>
      </c>
      <c r="S11" s="32">
        <f t="shared" si="3"/>
        <v>2492518.2399999998</v>
      </c>
      <c r="T11" s="32">
        <f t="shared" si="3"/>
        <v>1603044.96</v>
      </c>
      <c r="U11" s="32">
        <f t="shared" si="3"/>
        <v>2165545.2800000003</v>
      </c>
      <c r="V11" s="33">
        <f t="shared" si="3"/>
        <v>2550511.36</v>
      </c>
    </row>
    <row r="12" spans="2:22">
      <c r="I12" s="22" t="s">
        <v>58</v>
      </c>
      <c r="J12" s="23"/>
      <c r="K12" s="32">
        <f ca="1">SUMIFS(OFFSET(база!$E$1,0,K$10,10000,1),INDIRECT("база!$E$1:$E$10000"),$I12)</f>
        <v>1998885.6</v>
      </c>
      <c r="L12" s="32">
        <f ca="1">SUMIFS(OFFSET(база!$E$1,0,L$10,10000,1),INDIRECT("база!$E$1:$E$10000"),$I12)</f>
        <v>2118006.7199999997</v>
      </c>
      <c r="M12" s="32">
        <f ca="1">SUMIFS(OFFSET(база!$E$1,0,M$10,10000,1),INDIRECT("база!$E$1:$E$10000"),$I12)</f>
        <v>1764525.5999999999</v>
      </c>
      <c r="N12" s="32">
        <f ca="1">SUMIFS(OFFSET(база!$E$1,0,N$10,10000,1),INDIRECT("база!$E$1:$E$10000"),$I12)</f>
        <v>2530448.6399999997</v>
      </c>
      <c r="O12" s="32">
        <f ca="1">SUMIFS(OFFSET(база!$E$1,0,O$10,10000,1),INDIRECT("база!$E$1:$E$10000"),$I12)</f>
        <v>1831668.48</v>
      </c>
      <c r="P12" s="32">
        <f ca="1">SUMIFS(OFFSET(база!$E$1,0,P$10,10000,1),INDIRECT("база!$E$1:$E$10000"),$I12)</f>
        <v>1842543.3599999996</v>
      </c>
      <c r="Q12" s="32">
        <f ca="1">SUMIFS(OFFSET(база!$E$1,0,Q$10,10000,1),INDIRECT("база!$E$1:$E$10000"),$I12)</f>
        <v>2356161.1199999996</v>
      </c>
      <c r="R12" s="32">
        <f ca="1">SUMIFS(OFFSET(база!$E$1,0,R$10,10000,1),INDIRECT("база!$E$1:$E$10000"),$I12)</f>
        <v>2210977.4399999995</v>
      </c>
      <c r="S12" s="32">
        <f ca="1">SUMIFS(OFFSET(база!$E$1,0,S$10,10000,1),INDIRECT("база!$E$1:$E$10000"),$I12)</f>
        <v>2158057.44</v>
      </c>
      <c r="T12" s="32">
        <f ca="1">SUMIFS(OFFSET(база!$E$1,0,T$10,10000,1),INDIRECT("база!$E$1:$E$10000"),$I12)</f>
        <v>2678801.7599999993</v>
      </c>
      <c r="U12" s="32">
        <f ca="1">SUMIFS(OFFSET(база!$E$1,0,U$10,10000,1),INDIRECT("база!$E$1:$E$10000"),$I12)</f>
        <v>1892947.6800000002</v>
      </c>
      <c r="V12" s="33">
        <f ca="1">SUMIFS(OFFSET(база!$E$1,0,V$10,10000,1),INDIRECT("база!$E$1:$E$10000"),$I12)</f>
        <v>2656582.5599999996</v>
      </c>
    </row>
    <row r="13" spans="2:22">
      <c r="I13" s="22" t="s">
        <v>64</v>
      </c>
      <c r="J13" s="23"/>
      <c r="K13" s="32">
        <f ca="1">SUMIFS(OFFSET(база!$E$1,0,K$10,10000,1),INDIRECT("база!$E$1:$E$10000"),$I13)</f>
        <v>1223948</v>
      </c>
      <c r="L13" s="32">
        <f ca="1">SUMIFS(OFFSET(база!$E$1,0,L$10,10000,1),INDIRECT("база!$E$1:$E$10000"),$I13)</f>
        <v>1355946</v>
      </c>
      <c r="M13" s="32">
        <f ca="1">SUMIFS(OFFSET(база!$E$1,0,M$10,10000,1),INDIRECT("база!$E$1:$E$10000"),$I13)</f>
        <v>1468259</v>
      </c>
      <c r="N13" s="32">
        <f ca="1">SUMIFS(OFFSET(база!$E$1,0,N$10,10000,1),INDIRECT("база!$E$1:$E$10000"),$I13)</f>
        <v>1143580</v>
      </c>
      <c r="O13" s="32">
        <f ca="1">SUMIFS(OFFSET(база!$E$1,0,O$10,10000,1),INDIRECT("база!$E$1:$E$10000"),$I13)</f>
        <v>1293883</v>
      </c>
      <c r="P13" s="32">
        <f ca="1">SUMIFS(OFFSET(база!$E$1,0,P$10,10000,1),INDIRECT("база!$E$1:$E$10000"),$I13)</f>
        <v>1613239</v>
      </c>
      <c r="Q13" s="32">
        <f ca="1">SUMIFS(OFFSET(база!$E$1,0,Q$10,10000,1),INDIRECT("база!$E$1:$E$10000"),$I13)</f>
        <v>1127792</v>
      </c>
      <c r="R13" s="32">
        <f ca="1">SUMIFS(OFFSET(база!$E$1,0,R$10,10000,1),INDIRECT("база!$E$1:$E$10000"),$I13)</f>
        <v>973182</v>
      </c>
      <c r="S13" s="32">
        <f ca="1">SUMIFS(OFFSET(база!$E$1,0,S$10,10000,1),INDIRECT("база!$E$1:$E$10000"),$I13)</f>
        <v>1303444</v>
      </c>
      <c r="T13" s="32">
        <f ca="1">SUMIFS(OFFSET(база!$E$1,0,T$10,10000,1),INDIRECT("база!$E$1:$E$10000"),$I13)</f>
        <v>1342839</v>
      </c>
      <c r="U13" s="32">
        <f ca="1">SUMIFS(OFFSET(база!$E$1,0,U$10,10000,1),INDIRECT("база!$E$1:$E$10000"),$I13)</f>
        <v>1096605</v>
      </c>
      <c r="V13" s="33">
        <f ca="1">SUMIFS(OFFSET(база!$E$1,0,V$10,10000,1),INDIRECT("база!$E$1:$E$10000"),$I13)</f>
        <v>1975948</v>
      </c>
    </row>
    <row r="14" spans="2:22">
      <c r="I14" s="22" t="s">
        <v>65</v>
      </c>
      <c r="J14" s="23"/>
      <c r="K14" s="32">
        <f ca="1">SUMIFS(OFFSET(база!$E$1,0,K$10,10000,1),INDIRECT("база!$E$1:$E$10000"),$I14)</f>
        <v>489579.19999999995</v>
      </c>
      <c r="L14" s="32">
        <f ca="1">SUMIFS(OFFSET(база!$E$1,0,L$10,10000,1),INDIRECT("база!$E$1:$E$10000"),$I14)</f>
        <v>542378.4</v>
      </c>
      <c r="M14" s="32">
        <f ca="1">SUMIFS(OFFSET(база!$E$1,0,M$10,10000,1),INDIRECT("база!$E$1:$E$10000"),$I14)</f>
        <v>587303.60000000009</v>
      </c>
      <c r="N14" s="32">
        <f ca="1">SUMIFS(OFFSET(база!$E$1,0,N$10,10000,1),INDIRECT("база!$E$1:$E$10000"),$I14)</f>
        <v>457432.00000000006</v>
      </c>
      <c r="O14" s="32">
        <f ca="1">SUMIFS(OFFSET(база!$E$1,0,O$10,10000,1),INDIRECT("база!$E$1:$E$10000"),$I14)</f>
        <v>517553.19999999995</v>
      </c>
      <c r="P14" s="32">
        <f ca="1">SUMIFS(OFFSET(база!$E$1,0,P$10,10000,1),INDIRECT("база!$E$1:$E$10000"),$I14)</f>
        <v>645295.6</v>
      </c>
      <c r="Q14" s="32">
        <f ca="1">SUMIFS(OFFSET(база!$E$1,0,Q$10,10000,1),INDIRECT("база!$E$1:$E$10000"),$I14)</f>
        <v>470534.8</v>
      </c>
      <c r="R14" s="32">
        <f ca="1">SUMIFS(OFFSET(база!$E$1,0,R$10,10000,1),INDIRECT("база!$E$1:$E$10000"),$I14)</f>
        <v>389272.80000000005</v>
      </c>
      <c r="S14" s="32">
        <f ca="1">SUMIFS(OFFSET(база!$E$1,0,S$10,10000,1),INDIRECT("база!$E$1:$E$10000"),$I14)</f>
        <v>521377.60000000009</v>
      </c>
      <c r="T14" s="32">
        <f ca="1">SUMIFS(OFFSET(база!$E$1,0,T$10,10000,1),INDIRECT("база!$E$1:$E$10000"),$I14)</f>
        <v>537135.60000000009</v>
      </c>
      <c r="U14" s="32">
        <f ca="1">SUMIFS(OFFSET(база!$E$1,0,U$10,10000,1),INDIRECT("база!$E$1:$E$10000"),$I14)</f>
        <v>438642</v>
      </c>
      <c r="V14" s="33">
        <f ca="1">SUMIFS(OFFSET(база!$E$1,0,V$10,10000,1),INDIRECT("база!$E$1:$E$10000"),$I14)</f>
        <v>790379.20000000019</v>
      </c>
    </row>
    <row r="15" spans="2:22">
      <c r="I15" s="22" t="s">
        <v>66</v>
      </c>
      <c r="J15" s="23"/>
      <c r="K15" s="32">
        <f ca="1">SUMIFS(OFFSET(база!$E$1,0,K$10,10000,1),INDIRECT("база!$E$1:$E$10000"),$I15)</f>
        <v>817144.43327999988</v>
      </c>
      <c r="L15" s="32">
        <f ca="1">SUMIFS(OFFSET(база!$E$1,0,L$10,10000,1),INDIRECT("база!$E$1:$E$10000"),$I15)</f>
        <v>795946.925376</v>
      </c>
      <c r="M15" s="32">
        <f ca="1">SUMIFS(OFFSET(база!$E$1,0,M$10,10000,1),INDIRECT("база!$E$1:$E$10000"),$I15)</f>
        <v>727513.90488000005</v>
      </c>
      <c r="N15" s="32">
        <f ca="1">SUMIFS(OFFSET(база!$E$1,0,N$10,10000,1),INDIRECT("база!$E$1:$E$10000"),$I15)</f>
        <v>1054690.993152</v>
      </c>
      <c r="O15" s="32">
        <f ca="1">SUMIFS(OFFSET(база!$E$1,0,O$10,10000,1),INDIRECT("база!$E$1:$E$10000"),$I15)</f>
        <v>730286.22297599982</v>
      </c>
      <c r="P15" s="32">
        <f ca="1">SUMIFS(OFFSET(база!$E$1,0,P$10,10000,1),INDIRECT("база!$E$1:$E$10000"),$I15)</f>
        <v>772394.17651199992</v>
      </c>
      <c r="Q15" s="32">
        <f ca="1">SUMIFS(OFFSET(база!$E$1,0,Q$10,10000,1),INDIRECT("база!$E$1:$E$10000"),$I15)</f>
        <v>934924.73241599998</v>
      </c>
      <c r="R15" s="32">
        <f ca="1">SUMIFS(OFFSET(база!$E$1,0,R$10,10000,1),INDIRECT("база!$E$1:$E$10000"),$I15)</f>
        <v>857638.14897599991</v>
      </c>
      <c r="S15" s="32">
        <f ca="1">SUMIFS(OFFSET(база!$E$1,0,S$10,10000,1),INDIRECT("база!$E$1:$E$10000"),$I15)</f>
        <v>868186.50811200019</v>
      </c>
      <c r="T15" s="32">
        <f ca="1">SUMIFS(OFFSET(база!$E$1,0,T$10,10000,1),INDIRECT("база!$E$1:$E$10000"),$I15)</f>
        <v>1087593.5145599998</v>
      </c>
      <c r="U15" s="32">
        <f ca="1">SUMIFS(OFFSET(база!$E$1,0,U$10,10000,1),INDIRECT("база!$E$1:$E$10000"),$I15)</f>
        <v>767400.98947200004</v>
      </c>
      <c r="V15" s="33">
        <f ca="1">SUMIFS(OFFSET(база!$E$1,0,V$10,10000,1),INDIRECT("база!$E$1:$E$10000"),$I15)</f>
        <v>1037129.831424</v>
      </c>
    </row>
    <row r="16" spans="2:22">
      <c r="I16" s="22" t="s">
        <v>67</v>
      </c>
      <c r="J16" s="23"/>
      <c r="K16" s="32">
        <f ca="1">SUMIFS(OFFSET(база!$E$1,0,K$10,10000,1),INDIRECT("база!$E$1:$E$10000"),$I16)</f>
        <v>754860.00000000012</v>
      </c>
      <c r="L16" s="32">
        <f ca="1">SUMIFS(OFFSET(база!$E$1,0,L$10,10000,1),INDIRECT("база!$E$1:$E$10000"),$I16)</f>
        <v>588544.4</v>
      </c>
      <c r="M16" s="32">
        <f ca="1">SUMIFS(OFFSET(база!$E$1,0,M$10,10000,1),INDIRECT("база!$E$1:$E$10000"),$I16)</f>
        <v>492982.8</v>
      </c>
      <c r="N16" s="32">
        <f ca="1">SUMIFS(OFFSET(база!$E$1,0,N$10,10000,1),INDIRECT("база!$E$1:$E$10000"),$I16)</f>
        <v>476552.00000000006</v>
      </c>
      <c r="O16" s="32">
        <f ca="1">SUMIFS(OFFSET(база!$E$1,0,O$10,10000,1),INDIRECT("база!$E$1:$E$10000"),$I16)</f>
        <v>721606.40000000014</v>
      </c>
      <c r="P16" s="32">
        <f ca="1">SUMIFS(OFFSET(база!$E$1,0,P$10,10000,1),INDIRECT("база!$E$1:$E$10000"),$I16)</f>
        <v>632577.6</v>
      </c>
      <c r="Q16" s="32">
        <f ca="1">SUMIFS(OFFSET(база!$E$1,0,Q$10,10000,1),INDIRECT("база!$E$1:$E$10000"),$I16)</f>
        <v>627675.20000000007</v>
      </c>
      <c r="R16" s="32">
        <f ca="1">SUMIFS(OFFSET(база!$E$1,0,R$10,10000,1),INDIRECT("база!$E$1:$E$10000"),$I16)</f>
        <v>649872.4</v>
      </c>
      <c r="S16" s="32">
        <f ca="1">SUMIFS(OFFSET(база!$E$1,0,S$10,10000,1),INDIRECT("база!$E$1:$E$10000"),$I16)</f>
        <v>536581.19999999995</v>
      </c>
      <c r="T16" s="32">
        <f ca="1">SUMIFS(OFFSET(база!$E$1,0,T$10,10000,1),INDIRECT("база!$E$1:$E$10000"),$I16)</f>
        <v>643486.4</v>
      </c>
      <c r="U16" s="32">
        <f ca="1">SUMIFS(OFFSET(база!$E$1,0,U$10,10000,1),INDIRECT("база!$E$1:$E$10000"),$I16)</f>
        <v>535796</v>
      </c>
      <c r="V16" s="33">
        <f ca="1">SUMIFS(OFFSET(база!$E$1,0,V$10,10000,1),INDIRECT("база!$E$1:$E$10000"),$I16)</f>
        <v>787258.00000000012</v>
      </c>
    </row>
    <row r="17" spans="9:22">
      <c r="I17" s="24"/>
      <c r="J17" s="25"/>
      <c r="K17" s="34">
        <f t="shared" ref="K17:V17" ca="1" si="4">K11-K12</f>
        <v>-456917.76000000024</v>
      </c>
      <c r="L17" s="34">
        <f t="shared" ca="1" si="4"/>
        <v>-478196.6399999999</v>
      </c>
      <c r="M17" s="34">
        <f t="shared" ca="1" si="4"/>
        <v>-26858.880000000121</v>
      </c>
      <c r="N17" s="34">
        <f t="shared" ca="1" si="4"/>
        <v>-457774.55999999959</v>
      </c>
      <c r="O17" s="34">
        <f t="shared" ca="1" si="4"/>
        <v>-243689.76000000024</v>
      </c>
      <c r="P17" s="34">
        <f t="shared" ca="1" si="4"/>
        <v>404723.3600000001</v>
      </c>
      <c r="Q17" s="34">
        <f t="shared" ca="1" si="4"/>
        <v>-557842.53599999961</v>
      </c>
      <c r="R17" s="34">
        <f t="shared" ca="1" si="4"/>
        <v>-558075.03999999957</v>
      </c>
      <c r="S17" s="34">
        <f t="shared" ca="1" si="4"/>
        <v>334460.79999999981</v>
      </c>
      <c r="T17" s="34">
        <f t="shared" ca="1" si="4"/>
        <v>-1075756.7999999993</v>
      </c>
      <c r="U17" s="34">
        <f t="shared" ca="1" si="4"/>
        <v>272597.60000000009</v>
      </c>
      <c r="V17" s="35">
        <f t="shared" ca="1" si="4"/>
        <v>-106071.19999999972</v>
      </c>
    </row>
    <row r="20" spans="9:22">
      <c r="K20">
        <f t="shared" ref="K20:V20" si="5">YEAR(INDEX(дата,1,K10))</f>
        <v>2014</v>
      </c>
      <c r="L20">
        <f t="shared" si="5"/>
        <v>2014</v>
      </c>
      <c r="M20">
        <f t="shared" si="5"/>
        <v>2014</v>
      </c>
      <c r="N20">
        <f t="shared" si="5"/>
        <v>2014</v>
      </c>
      <c r="O20">
        <f t="shared" si="5"/>
        <v>2014</v>
      </c>
      <c r="P20">
        <f t="shared" si="5"/>
        <v>2015</v>
      </c>
      <c r="Q20">
        <f t="shared" si="5"/>
        <v>2015</v>
      </c>
      <c r="R20">
        <f t="shared" si="5"/>
        <v>2015</v>
      </c>
      <c r="S20">
        <f t="shared" si="5"/>
        <v>2015</v>
      </c>
      <c r="T20">
        <f t="shared" si="5"/>
        <v>2015</v>
      </c>
      <c r="U20">
        <f t="shared" si="5"/>
        <v>2015</v>
      </c>
      <c r="V20">
        <f t="shared" si="5"/>
        <v>2015</v>
      </c>
    </row>
    <row r="21" spans="9:22">
      <c r="K21" s="40">
        <f t="shared" ref="K21:V21" si="6">IF(J20&lt;&gt;K20,K20,"")</f>
        <v>2014</v>
      </c>
      <c r="L21" s="40" t="str">
        <f t="shared" si="6"/>
        <v/>
      </c>
      <c r="M21" s="40" t="str">
        <f t="shared" si="6"/>
        <v/>
      </c>
      <c r="N21" s="40" t="str">
        <f t="shared" si="6"/>
        <v/>
      </c>
      <c r="O21" s="40" t="str">
        <f t="shared" si="6"/>
        <v/>
      </c>
      <c r="P21" s="40">
        <f t="shared" si="6"/>
        <v>2015</v>
      </c>
      <c r="Q21" s="40" t="str">
        <f t="shared" si="6"/>
        <v/>
      </c>
      <c r="R21" s="40" t="str">
        <f t="shared" si="6"/>
        <v/>
      </c>
      <c r="S21" s="40" t="str">
        <f t="shared" si="6"/>
        <v/>
      </c>
      <c r="T21" s="40" t="str">
        <f t="shared" si="6"/>
        <v/>
      </c>
      <c r="U21" s="40" t="str">
        <f t="shared" si="6"/>
        <v/>
      </c>
      <c r="V21" s="40" t="str">
        <f t="shared" si="6"/>
        <v/>
      </c>
    </row>
    <row r="22" spans="9:22">
      <c r="I22" s="26" t="s">
        <v>46</v>
      </c>
      <c r="J22" s="27"/>
      <c r="K22" s="27" t="str">
        <f t="shared" ref="K22:V22" si="7">INDEX(TEXT(дата,"МММ"),1,K10)</f>
        <v>авг</v>
      </c>
      <c r="L22" s="27" t="str">
        <f t="shared" si="7"/>
        <v>сен</v>
      </c>
      <c r="M22" s="27" t="str">
        <f t="shared" si="7"/>
        <v>окт</v>
      </c>
      <c r="N22" s="27" t="str">
        <f t="shared" si="7"/>
        <v>ноя</v>
      </c>
      <c r="O22" s="27" t="str">
        <f t="shared" si="7"/>
        <v>дек</v>
      </c>
      <c r="P22" s="27" t="str">
        <f t="shared" si="7"/>
        <v>янв</v>
      </c>
      <c r="Q22" s="27" t="str">
        <f t="shared" si="7"/>
        <v>фев</v>
      </c>
      <c r="R22" s="27" t="str">
        <f t="shared" si="7"/>
        <v>мар</v>
      </c>
      <c r="S22" s="27" t="str">
        <f t="shared" si="7"/>
        <v>апр</v>
      </c>
      <c r="T22" s="27" t="str">
        <f t="shared" si="7"/>
        <v>май</v>
      </c>
      <c r="U22" s="27" t="str">
        <f t="shared" si="7"/>
        <v>июн</v>
      </c>
      <c r="V22" s="28" t="str">
        <f t="shared" si="7"/>
        <v>июл</v>
      </c>
    </row>
    <row r="23" spans="9:22">
      <c r="I23" s="38">
        <v>1</v>
      </c>
      <c r="J23" s="23" t="s">
        <v>8</v>
      </c>
      <c r="K23" s="32">
        <f t="shared" ref="K23:V23" si="8">K11/делитель*IF($I23,$I23,NA())</f>
        <v>1541.9678399999998</v>
      </c>
      <c r="L23" s="32">
        <f t="shared" si="8"/>
        <v>1639.8100799999997</v>
      </c>
      <c r="M23" s="32">
        <f t="shared" si="8"/>
        <v>1737.6667199999997</v>
      </c>
      <c r="N23" s="32">
        <f t="shared" si="8"/>
        <v>2072.6740800000002</v>
      </c>
      <c r="O23" s="32">
        <f t="shared" si="8"/>
        <v>1587.9787199999998</v>
      </c>
      <c r="P23" s="32">
        <f t="shared" si="8"/>
        <v>2247.2667199999996</v>
      </c>
      <c r="Q23" s="32">
        <f t="shared" si="8"/>
        <v>1798.3185840000001</v>
      </c>
      <c r="R23" s="32">
        <f t="shared" si="8"/>
        <v>1652.9023999999999</v>
      </c>
      <c r="S23" s="32">
        <f t="shared" si="8"/>
        <v>2492.5182399999999</v>
      </c>
      <c r="T23" s="32">
        <f t="shared" si="8"/>
        <v>1603.0449599999999</v>
      </c>
      <c r="U23" s="32">
        <f t="shared" si="8"/>
        <v>2165.5452800000003</v>
      </c>
      <c r="V23" s="33">
        <f t="shared" si="8"/>
        <v>2550.51136</v>
      </c>
    </row>
    <row r="24" spans="9:22">
      <c r="I24" s="38">
        <v>1</v>
      </c>
      <c r="J24" s="23" t="s">
        <v>7</v>
      </c>
      <c r="K24" s="32">
        <f t="shared" ref="K24:V24" ca="1" si="9">K12/делитель*IF($I24,$I24,NA())</f>
        <v>1998.8856000000001</v>
      </c>
      <c r="L24" s="32">
        <f t="shared" ca="1" si="9"/>
        <v>2118.0067199999999</v>
      </c>
      <c r="M24" s="32">
        <f t="shared" ca="1" si="9"/>
        <v>1764.5255999999999</v>
      </c>
      <c r="N24" s="32">
        <f t="shared" ca="1" si="9"/>
        <v>2530.4486399999996</v>
      </c>
      <c r="O24" s="32">
        <f t="shared" ca="1" si="9"/>
        <v>1831.66848</v>
      </c>
      <c r="P24" s="32">
        <f t="shared" ca="1" si="9"/>
        <v>1842.5433599999997</v>
      </c>
      <c r="Q24" s="32">
        <f t="shared" ca="1" si="9"/>
        <v>2356.1611199999998</v>
      </c>
      <c r="R24" s="32">
        <f t="shared" ca="1" si="9"/>
        <v>2210.9774399999997</v>
      </c>
      <c r="S24" s="32">
        <f t="shared" ca="1" si="9"/>
        <v>2158.05744</v>
      </c>
      <c r="T24" s="32">
        <f t="shared" ca="1" si="9"/>
        <v>2678.8017599999994</v>
      </c>
      <c r="U24" s="32">
        <f t="shared" ca="1" si="9"/>
        <v>1892.9476800000002</v>
      </c>
      <c r="V24" s="33">
        <f t="shared" ca="1" si="9"/>
        <v>2656.5825599999994</v>
      </c>
    </row>
    <row r="25" spans="9:22">
      <c r="I25" s="38">
        <v>1</v>
      </c>
      <c r="J25" s="45" t="s">
        <v>68</v>
      </c>
      <c r="K25" s="46">
        <f t="shared" ref="K25:V25" ca="1" si="10">(K13+K14)/делитель*IF($I25,$I25,NA())</f>
        <v>1713.5272</v>
      </c>
      <c r="L25" s="46">
        <f t="shared" ca="1" si="10"/>
        <v>1898.3244</v>
      </c>
      <c r="M25" s="46">
        <f t="shared" ca="1" si="10"/>
        <v>2055.5626000000002</v>
      </c>
      <c r="N25" s="46">
        <f t="shared" ca="1" si="10"/>
        <v>1601.0119999999999</v>
      </c>
      <c r="O25" s="46">
        <f t="shared" ca="1" si="10"/>
        <v>1811.4361999999999</v>
      </c>
      <c r="P25" s="46">
        <f t="shared" ca="1" si="10"/>
        <v>2258.5346</v>
      </c>
      <c r="Q25" s="46">
        <f t="shared" ca="1" si="10"/>
        <v>1598.3268</v>
      </c>
      <c r="R25" s="46">
        <f t="shared" ca="1" si="10"/>
        <v>1362.4548</v>
      </c>
      <c r="S25" s="46">
        <f t="shared" ca="1" si="10"/>
        <v>1824.8216</v>
      </c>
      <c r="T25" s="46">
        <f t="shared" ca="1" si="10"/>
        <v>1879.9746</v>
      </c>
      <c r="U25" s="46">
        <f t="shared" ca="1" si="10"/>
        <v>1535.2470000000001</v>
      </c>
      <c r="V25" s="47">
        <f t="shared" ca="1" si="10"/>
        <v>2766.3272000000002</v>
      </c>
    </row>
    <row r="26" spans="9:22">
      <c r="I26" s="38">
        <v>1</v>
      </c>
      <c r="J26" s="45" t="s">
        <v>69</v>
      </c>
      <c r="K26" s="46">
        <f t="shared" ref="K26:V26" ca="1" si="11">(K15+K16)/делитель*IF($I26,$I26,NA())</f>
        <v>1572.0044332800001</v>
      </c>
      <c r="L26" s="46">
        <f t="shared" ca="1" si="11"/>
        <v>1384.4913253760001</v>
      </c>
      <c r="M26" s="46">
        <f t="shared" ca="1" si="11"/>
        <v>1220.4967048800002</v>
      </c>
      <c r="N26" s="46">
        <f t="shared" ca="1" si="11"/>
        <v>1531.2429931520001</v>
      </c>
      <c r="O26" s="46">
        <f t="shared" ca="1" si="11"/>
        <v>1451.892622976</v>
      </c>
      <c r="P26" s="46">
        <f t="shared" ca="1" si="11"/>
        <v>1404.9717765119997</v>
      </c>
      <c r="Q26" s="46">
        <f t="shared" ca="1" si="11"/>
        <v>1562.599932416</v>
      </c>
      <c r="R26" s="46">
        <f t="shared" ca="1" si="11"/>
        <v>1507.5105489759999</v>
      </c>
      <c r="S26" s="46">
        <f t="shared" ca="1" si="11"/>
        <v>1404.767708112</v>
      </c>
      <c r="T26" s="46">
        <f t="shared" ca="1" si="11"/>
        <v>1731.0799145599999</v>
      </c>
      <c r="U26" s="46">
        <f t="shared" ca="1" si="11"/>
        <v>1303.196989472</v>
      </c>
      <c r="V26" s="46">
        <f t="shared" ca="1" si="11"/>
        <v>1824.3878314240003</v>
      </c>
    </row>
    <row r="27" spans="9:22">
      <c r="I27" s="38">
        <v>1</v>
      </c>
      <c r="J27" s="48" t="s">
        <v>71</v>
      </c>
      <c r="K27" s="49">
        <f ca="1">K23-K25</f>
        <v>-171.5593600000002</v>
      </c>
      <c r="L27" s="49">
        <f t="shared" ref="L27:V27" ca="1" si="12">L23-L25</f>
        <v>-258.51432000000023</v>
      </c>
      <c r="M27" s="49">
        <f t="shared" ca="1" si="12"/>
        <v>-317.89588000000049</v>
      </c>
      <c r="N27" s="49">
        <f t="shared" ca="1" si="12"/>
        <v>471.66208000000029</v>
      </c>
      <c r="O27" s="49">
        <f t="shared" ca="1" si="12"/>
        <v>-223.45748000000003</v>
      </c>
      <c r="P27" s="49">
        <f t="shared" ca="1" si="12"/>
        <v>-11.267880000000332</v>
      </c>
      <c r="Q27" s="49">
        <f t="shared" ca="1" si="12"/>
        <v>199.99178400000005</v>
      </c>
      <c r="R27" s="49">
        <f t="shared" ca="1" si="12"/>
        <v>290.44759999999997</v>
      </c>
      <c r="S27" s="49">
        <f t="shared" ca="1" si="12"/>
        <v>667.69663999999989</v>
      </c>
      <c r="T27" s="49">
        <f t="shared" ca="1" si="12"/>
        <v>-276.92964000000006</v>
      </c>
      <c r="U27" s="49">
        <f t="shared" ca="1" si="12"/>
        <v>630.2982800000002</v>
      </c>
      <c r="V27" s="49">
        <f t="shared" ca="1" si="12"/>
        <v>-215.81584000000021</v>
      </c>
    </row>
    <row r="28" spans="9:22">
      <c r="I28" s="39">
        <v>1</v>
      </c>
      <c r="J28" s="25" t="s">
        <v>59</v>
      </c>
      <c r="K28" s="34">
        <f t="shared" ref="K28:V28" ca="1" si="13">K17/делитель*IF($I28,$I28,NA())</f>
        <v>-456.91776000000021</v>
      </c>
      <c r="L28" s="34">
        <f t="shared" ca="1" si="13"/>
        <v>-478.19663999999989</v>
      </c>
      <c r="M28" s="34">
        <f t="shared" ca="1" si="13"/>
        <v>-26.85888000000012</v>
      </c>
      <c r="N28" s="34">
        <f t="shared" ca="1" si="13"/>
        <v>-457.77455999999961</v>
      </c>
      <c r="O28" s="34">
        <f t="shared" ca="1" si="13"/>
        <v>-243.68976000000023</v>
      </c>
      <c r="P28" s="34">
        <f t="shared" ca="1" si="13"/>
        <v>404.72336000000013</v>
      </c>
      <c r="Q28" s="34">
        <f t="shared" ca="1" si="13"/>
        <v>-557.84253599999965</v>
      </c>
      <c r="R28" s="34">
        <f t="shared" ca="1" si="13"/>
        <v>-558.0750399999996</v>
      </c>
      <c r="S28" s="34">
        <f t="shared" ca="1" si="13"/>
        <v>334.46079999999984</v>
      </c>
      <c r="T28" s="34">
        <f t="shared" ca="1" si="13"/>
        <v>-1075.7567999999994</v>
      </c>
      <c r="U28" s="34">
        <f t="shared" ca="1" si="13"/>
        <v>272.59760000000011</v>
      </c>
      <c r="V28" s="35">
        <f t="shared" ca="1" si="13"/>
        <v>-106.07119999999972</v>
      </c>
    </row>
  </sheetData>
  <conditionalFormatting sqref="F6:F9">
    <cfRule type="iconSet" priority="1">
      <iconSet>
        <cfvo type="percent" val="0"/>
        <cfvo type="num" val="0.9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O21"/>
  <sheetViews>
    <sheetView zoomScaleNormal="100" workbookViewId="0">
      <selection activeCell="J30" sqref="J30"/>
    </sheetView>
  </sheetViews>
  <sheetFormatPr defaultRowHeight="15"/>
  <cols>
    <col min="1" max="1" width="3.28515625" customWidth="1"/>
    <col min="2" max="2" width="23.28515625" bestFit="1" customWidth="1"/>
    <col min="3" max="3" width="10.5703125" customWidth="1"/>
    <col min="4" max="5" width="10.140625" customWidth="1"/>
    <col min="6" max="6" width="10.5703125" bestFit="1" customWidth="1"/>
    <col min="7" max="13" width="10.140625" customWidth="1"/>
    <col min="14" max="15" width="11.42578125" customWidth="1"/>
  </cols>
  <sheetData>
    <row r="2" spans="2:15">
      <c r="B2" t="s">
        <v>47</v>
      </c>
    </row>
    <row r="3" spans="2:15">
      <c r="B3" s="26" t="s">
        <v>48</v>
      </c>
      <c r="C3" s="28" t="s">
        <v>49</v>
      </c>
    </row>
    <row r="4" spans="2:15">
      <c r="B4" s="22" t="s">
        <v>50</v>
      </c>
      <c r="C4" s="29" t="s">
        <v>89</v>
      </c>
    </row>
    <row r="5" spans="2:15">
      <c r="B5" s="22" t="s">
        <v>51</v>
      </c>
      <c r="C5" s="29" t="s">
        <v>53</v>
      </c>
    </row>
    <row r="6" spans="2:15">
      <c r="B6" s="22" t="s">
        <v>52</v>
      </c>
      <c r="C6" s="31">
        <v>1000</v>
      </c>
    </row>
    <row r="7" spans="2:15">
      <c r="B7" s="24"/>
      <c r="C7" s="30"/>
    </row>
    <row r="10" spans="2:15">
      <c r="B10" s="26" t="s">
        <v>54</v>
      </c>
      <c r="C10" s="27" t="s">
        <v>55</v>
      </c>
      <c r="D10" s="27">
        <f t="shared" ref="D10:N10" si="0">E10-1</f>
        <v>8</v>
      </c>
      <c r="E10" s="27">
        <f t="shared" si="0"/>
        <v>9</v>
      </c>
      <c r="F10" s="27">
        <f t="shared" si="0"/>
        <v>10</v>
      </c>
      <c r="G10" s="27">
        <f t="shared" si="0"/>
        <v>11</v>
      </c>
      <c r="H10" s="27">
        <f t="shared" si="0"/>
        <v>12</v>
      </c>
      <c r="I10" s="27">
        <f t="shared" si="0"/>
        <v>13</v>
      </c>
      <c r="J10" s="27">
        <f t="shared" si="0"/>
        <v>14</v>
      </c>
      <c r="K10" s="27">
        <f t="shared" si="0"/>
        <v>15</v>
      </c>
      <c r="L10" s="27">
        <f t="shared" si="0"/>
        <v>16</v>
      </c>
      <c r="M10" s="27">
        <f t="shared" si="0"/>
        <v>17</v>
      </c>
      <c r="N10" s="27">
        <f t="shared" si="0"/>
        <v>18</v>
      </c>
      <c r="O10" s="28">
        <f>ВыборДат</f>
        <v>19</v>
      </c>
    </row>
    <row r="11" spans="2:15">
      <c r="B11" s="22" t="s">
        <v>57</v>
      </c>
      <c r="C11" s="23">
        <f>MATCH(B11,код,0)</f>
        <v>6</v>
      </c>
      <c r="D11" s="32">
        <f t="shared" ref="D11:O11" si="1">INDEX(база,$C11,D$10)</f>
        <v>1541967.8399999999</v>
      </c>
      <c r="E11" s="32">
        <f t="shared" si="1"/>
        <v>1639810.0799999998</v>
      </c>
      <c r="F11" s="32">
        <f t="shared" si="1"/>
        <v>1737666.7199999997</v>
      </c>
      <c r="G11" s="32">
        <f t="shared" si="1"/>
        <v>2072674.08</v>
      </c>
      <c r="H11" s="32">
        <f t="shared" si="1"/>
        <v>1587978.7199999997</v>
      </c>
      <c r="I11" s="32">
        <f t="shared" si="1"/>
        <v>2247266.7199999997</v>
      </c>
      <c r="J11" s="32">
        <f t="shared" si="1"/>
        <v>1798318.584</v>
      </c>
      <c r="K11" s="32">
        <f t="shared" si="1"/>
        <v>1652902.4</v>
      </c>
      <c r="L11" s="32">
        <f t="shared" si="1"/>
        <v>2492518.2399999998</v>
      </c>
      <c r="M11" s="32">
        <f t="shared" si="1"/>
        <v>1603044.96</v>
      </c>
      <c r="N11" s="32">
        <f t="shared" si="1"/>
        <v>2165545.2800000003</v>
      </c>
      <c r="O11" s="33">
        <f t="shared" si="1"/>
        <v>2550511.36</v>
      </c>
    </row>
    <row r="12" spans="2:15">
      <c r="B12" s="22" t="s">
        <v>58</v>
      </c>
      <c r="C12" s="23"/>
      <c r="D12" s="32">
        <f ca="1">SUMIFS(OFFSET(база!$E$1,0,D10,10000,1),INDIRECT("база!$E$1:$E$10000"),$B12)</f>
        <v>1998885.6</v>
      </c>
      <c r="E12" s="32">
        <f ca="1">SUMIFS(OFFSET(база!$E$1,0,E10,10000,1),INDIRECT("база!$E$1:$E$10000"),$B12)</f>
        <v>2118006.7199999997</v>
      </c>
      <c r="F12" s="32">
        <f ca="1">SUMIFS(OFFSET(база!$E$1,0,F10,10000,1),INDIRECT("база!$E$1:$E$10000"),$B12)</f>
        <v>1764525.5999999999</v>
      </c>
      <c r="G12" s="32">
        <f ca="1">SUMIFS(OFFSET(база!$E$1,0,G10,10000,1),INDIRECT("база!$E$1:$E$10000"),$B12)</f>
        <v>2530448.6399999997</v>
      </c>
      <c r="H12" s="32">
        <f ca="1">SUMIFS(OFFSET(база!$E$1,0,H10,10000,1),INDIRECT("база!$E$1:$E$10000"),$B12)</f>
        <v>1831668.48</v>
      </c>
      <c r="I12" s="32">
        <f ca="1">SUMIFS(OFFSET(база!$E$1,0,I10,10000,1),INDIRECT("база!$E$1:$E$10000"),$B12)</f>
        <v>1842543.3599999996</v>
      </c>
      <c r="J12" s="32">
        <f ca="1">SUMIFS(OFFSET(база!$E$1,0,J10,10000,1),INDIRECT("база!$E$1:$E$10000"),$B12)</f>
        <v>2356161.1199999996</v>
      </c>
      <c r="K12" s="32">
        <f ca="1">SUMIFS(OFFSET(база!$E$1,0,K10,10000,1),INDIRECT("база!$E$1:$E$10000"),$B12)</f>
        <v>2210977.4399999995</v>
      </c>
      <c r="L12" s="32">
        <f ca="1">SUMIFS(OFFSET(база!$E$1,0,L10,10000,1),INDIRECT("база!$E$1:$E$10000"),$B12)</f>
        <v>2158057.44</v>
      </c>
      <c r="M12" s="32">
        <f ca="1">SUMIFS(OFFSET(база!$E$1,0,M10,10000,1),INDIRECT("база!$E$1:$E$10000"),$B12)</f>
        <v>2678801.7599999993</v>
      </c>
      <c r="N12" s="32">
        <f ca="1">SUMIFS(OFFSET(база!$E$1,0,N10,10000,1),INDIRECT("база!$E$1:$E$10000"),$B12)</f>
        <v>1892947.6800000002</v>
      </c>
      <c r="O12" s="33">
        <f ca="1">SUMIFS(OFFSET(база!$E$1,0,O10,10000,1),INDIRECT("база!$E$1:$E$10000"),$B12)</f>
        <v>2656582.5599999996</v>
      </c>
    </row>
    <row r="13" spans="2:15">
      <c r="B13" s="24" t="s">
        <v>95</v>
      </c>
      <c r="C13" s="25"/>
      <c r="D13" s="34">
        <f ca="1">IF(ISNA(D11),#REF!-D12,D11-D12)</f>
        <v>-456917.76000000024</v>
      </c>
      <c r="E13" s="34">
        <f ca="1">IF(ISNA(E11),#REF!-E12,E11-E12)</f>
        <v>-478196.6399999999</v>
      </c>
      <c r="F13" s="34">
        <f ca="1">IF(ISNA(F11),#REF!-F12,F11-F12)</f>
        <v>-26858.880000000121</v>
      </c>
      <c r="G13" s="34">
        <f ca="1">IF(ISNA(G11),#REF!-G12,G11-G12)</f>
        <v>-457774.55999999959</v>
      </c>
      <c r="H13" s="34">
        <f ca="1">IF(ISNA(H11),#REF!-H12,H11-H12)</f>
        <v>-243689.76000000024</v>
      </c>
      <c r="I13" s="34">
        <f ca="1">IF(ISNA(I11),#REF!-I12,I11-I12)</f>
        <v>404723.3600000001</v>
      </c>
      <c r="J13" s="34">
        <f ca="1">IF(ISNA(J11),#REF!-J12,J11-J12)</f>
        <v>-557842.53599999961</v>
      </c>
      <c r="K13" s="34">
        <f ca="1">IF(ISNA(K11),#REF!-K12,K11-K12)</f>
        <v>-558075.03999999957</v>
      </c>
      <c r="L13" s="34">
        <f ca="1">IF(ISNA(L11),#REF!-L12,L11-L12)</f>
        <v>334460.79999999981</v>
      </c>
      <c r="M13" s="34">
        <f ca="1">IF(ISNA(M11),#REF!-M12,M11-M12)</f>
        <v>-1075756.7999999993</v>
      </c>
      <c r="N13" s="34">
        <f ca="1">IF(ISNA(N11),#REF!-N12,N11-N12)</f>
        <v>272597.60000000009</v>
      </c>
      <c r="O13" s="35">
        <f ca="1">IF(ISNA(O11),#REF!-O12,O11-O12)</f>
        <v>-106071.19999999972</v>
      </c>
    </row>
    <row r="16" spans="2:15">
      <c r="D16">
        <f t="shared" ref="D16:O16" si="2">YEAR(INDEX(дата,1,D10))</f>
        <v>2014</v>
      </c>
      <c r="E16">
        <f t="shared" si="2"/>
        <v>2014</v>
      </c>
      <c r="F16">
        <f t="shared" si="2"/>
        <v>2014</v>
      </c>
      <c r="G16">
        <f t="shared" si="2"/>
        <v>2014</v>
      </c>
      <c r="H16">
        <f t="shared" si="2"/>
        <v>2014</v>
      </c>
      <c r="I16">
        <f t="shared" si="2"/>
        <v>2015</v>
      </c>
      <c r="J16">
        <f t="shared" si="2"/>
        <v>2015</v>
      </c>
      <c r="K16">
        <f t="shared" si="2"/>
        <v>2015</v>
      </c>
      <c r="L16">
        <f t="shared" si="2"/>
        <v>2015</v>
      </c>
      <c r="M16">
        <f t="shared" si="2"/>
        <v>2015</v>
      </c>
      <c r="N16">
        <f t="shared" si="2"/>
        <v>2015</v>
      </c>
      <c r="O16">
        <f t="shared" si="2"/>
        <v>2015</v>
      </c>
    </row>
    <row r="17" spans="2:15">
      <c r="D17" s="40">
        <f t="shared" ref="D17:O17" si="3">IF(C16&lt;&gt;D16,D16,"")</f>
        <v>2014</v>
      </c>
      <c r="E17" s="40" t="str">
        <f t="shared" si="3"/>
        <v/>
      </c>
      <c r="F17" s="40" t="str">
        <f t="shared" si="3"/>
        <v/>
      </c>
      <c r="G17" s="40" t="str">
        <f t="shared" si="3"/>
        <v/>
      </c>
      <c r="H17" s="40" t="str">
        <f t="shared" si="3"/>
        <v/>
      </c>
      <c r="I17" s="40">
        <f t="shared" si="3"/>
        <v>2015</v>
      </c>
      <c r="J17" s="40" t="str">
        <f t="shared" si="3"/>
        <v/>
      </c>
      <c r="K17" s="40" t="str">
        <f t="shared" si="3"/>
        <v/>
      </c>
      <c r="L17" s="40" t="str">
        <f t="shared" si="3"/>
        <v/>
      </c>
      <c r="M17" s="40" t="str">
        <f t="shared" si="3"/>
        <v/>
      </c>
      <c r="N17" s="40" t="str">
        <f t="shared" si="3"/>
        <v/>
      </c>
      <c r="O17" s="40" t="str">
        <f t="shared" si="3"/>
        <v/>
      </c>
    </row>
    <row r="18" spans="2:15">
      <c r="B18" s="26" t="s">
        <v>46</v>
      </c>
      <c r="C18" s="27"/>
      <c r="D18" s="27" t="str">
        <f t="shared" ref="D18:O18" si="4">INDEX(TEXT(дата,"МММ"),1,D10)</f>
        <v>авг</v>
      </c>
      <c r="E18" s="27" t="str">
        <f t="shared" si="4"/>
        <v>сен</v>
      </c>
      <c r="F18" s="27" t="str">
        <f t="shared" si="4"/>
        <v>окт</v>
      </c>
      <c r="G18" s="27" t="str">
        <f t="shared" si="4"/>
        <v>ноя</v>
      </c>
      <c r="H18" s="27" t="str">
        <f t="shared" si="4"/>
        <v>дек</v>
      </c>
      <c r="I18" s="27" t="str">
        <f t="shared" si="4"/>
        <v>янв</v>
      </c>
      <c r="J18" s="27" t="str">
        <f t="shared" si="4"/>
        <v>фев</v>
      </c>
      <c r="K18" s="27" t="str">
        <f t="shared" si="4"/>
        <v>мар</v>
      </c>
      <c r="L18" s="27" t="str">
        <f t="shared" si="4"/>
        <v>апр</v>
      </c>
      <c r="M18" s="27" t="str">
        <f t="shared" si="4"/>
        <v>май</v>
      </c>
      <c r="N18" s="27" t="str">
        <f t="shared" si="4"/>
        <v>июн</v>
      </c>
      <c r="O18" s="28" t="str">
        <f t="shared" si="4"/>
        <v>июл</v>
      </c>
    </row>
    <row r="19" spans="2:15">
      <c r="B19" s="38">
        <v>1</v>
      </c>
      <c r="C19" s="23" t="s">
        <v>8</v>
      </c>
      <c r="D19" s="32">
        <f t="shared" ref="D19:O19" si="5">D11/делитель*IF($B19,$B19,NA())</f>
        <v>1541.9678399999998</v>
      </c>
      <c r="E19" s="32">
        <f t="shared" si="5"/>
        <v>1639.8100799999997</v>
      </c>
      <c r="F19" s="32">
        <f t="shared" si="5"/>
        <v>1737.6667199999997</v>
      </c>
      <c r="G19" s="32">
        <f t="shared" si="5"/>
        <v>2072.6740800000002</v>
      </c>
      <c r="H19" s="32">
        <f t="shared" si="5"/>
        <v>1587.9787199999998</v>
      </c>
      <c r="I19" s="32">
        <f t="shared" si="5"/>
        <v>2247.2667199999996</v>
      </c>
      <c r="J19" s="32">
        <f t="shared" si="5"/>
        <v>1798.3185840000001</v>
      </c>
      <c r="K19" s="32">
        <f t="shared" si="5"/>
        <v>1652.9023999999999</v>
      </c>
      <c r="L19" s="32">
        <f t="shared" si="5"/>
        <v>2492.5182399999999</v>
      </c>
      <c r="M19" s="32">
        <f t="shared" si="5"/>
        <v>1603.0449599999999</v>
      </c>
      <c r="N19" s="32">
        <f t="shared" si="5"/>
        <v>2165.5452800000003</v>
      </c>
      <c r="O19" s="33">
        <f t="shared" si="5"/>
        <v>2550.51136</v>
      </c>
    </row>
    <row r="20" spans="2:15">
      <c r="B20" s="38">
        <v>1</v>
      </c>
      <c r="C20" s="23" t="s">
        <v>7</v>
      </c>
      <c r="D20" s="32">
        <f t="shared" ref="D20:O20" ca="1" si="6">D12/делитель*IF($B20,$B20,NA())</f>
        <v>1998.8856000000001</v>
      </c>
      <c r="E20" s="32">
        <f t="shared" ca="1" si="6"/>
        <v>2118.0067199999999</v>
      </c>
      <c r="F20" s="32">
        <f t="shared" ca="1" si="6"/>
        <v>1764.5255999999999</v>
      </c>
      <c r="G20" s="32">
        <f t="shared" ca="1" si="6"/>
        <v>2530.4486399999996</v>
      </c>
      <c r="H20" s="32">
        <f t="shared" ca="1" si="6"/>
        <v>1831.66848</v>
      </c>
      <c r="I20" s="32">
        <f t="shared" ca="1" si="6"/>
        <v>1842.5433599999997</v>
      </c>
      <c r="J20" s="32">
        <f t="shared" ca="1" si="6"/>
        <v>2356.1611199999998</v>
      </c>
      <c r="K20" s="32">
        <f t="shared" ca="1" si="6"/>
        <v>2210.9774399999997</v>
      </c>
      <c r="L20" s="32">
        <f t="shared" ca="1" si="6"/>
        <v>2158.05744</v>
      </c>
      <c r="M20" s="32">
        <f t="shared" ca="1" si="6"/>
        <v>2678.8017599999994</v>
      </c>
      <c r="N20" s="32">
        <f t="shared" ca="1" si="6"/>
        <v>1892.9476800000002</v>
      </c>
      <c r="O20" s="33">
        <f t="shared" ca="1" si="6"/>
        <v>2656.5825599999994</v>
      </c>
    </row>
    <row r="21" spans="2:15">
      <c r="B21" s="39">
        <v>1</v>
      </c>
      <c r="C21" s="25" t="s">
        <v>59</v>
      </c>
      <c r="D21" s="34">
        <f t="shared" ref="D21:O21" ca="1" si="7">D13/делитель*IF($B21,$B21,NA())</f>
        <v>-456.91776000000021</v>
      </c>
      <c r="E21" s="34">
        <f t="shared" ca="1" si="7"/>
        <v>-478.19663999999989</v>
      </c>
      <c r="F21" s="34">
        <f t="shared" ca="1" si="7"/>
        <v>-26.85888000000012</v>
      </c>
      <c r="G21" s="34">
        <f t="shared" ca="1" si="7"/>
        <v>-457.77455999999961</v>
      </c>
      <c r="H21" s="34">
        <f t="shared" ca="1" si="7"/>
        <v>-243.68976000000023</v>
      </c>
      <c r="I21" s="34">
        <f t="shared" ca="1" si="7"/>
        <v>404.72336000000013</v>
      </c>
      <c r="J21" s="34">
        <f t="shared" ca="1" si="7"/>
        <v>-557.84253599999965</v>
      </c>
      <c r="K21" s="34">
        <f t="shared" ca="1" si="7"/>
        <v>-558.0750399999996</v>
      </c>
      <c r="L21" s="34">
        <f t="shared" ca="1" si="7"/>
        <v>334.46079999999984</v>
      </c>
      <c r="M21" s="34">
        <f t="shared" ca="1" si="7"/>
        <v>-1075.7567999999994</v>
      </c>
      <c r="N21" s="34">
        <f t="shared" ca="1" si="7"/>
        <v>272.59760000000011</v>
      </c>
      <c r="O21" s="35">
        <f t="shared" ca="1" si="7"/>
        <v>-106.07119999999972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O26"/>
  <sheetViews>
    <sheetView zoomScaleNormal="100" workbookViewId="0">
      <selection activeCell="A26" sqref="A26:XFD26"/>
    </sheetView>
  </sheetViews>
  <sheetFormatPr defaultRowHeight="15"/>
  <cols>
    <col min="1" max="1" width="3.28515625" customWidth="1"/>
    <col min="2" max="2" width="23.28515625" bestFit="1" customWidth="1"/>
    <col min="3" max="3" width="10.5703125" customWidth="1"/>
    <col min="4" max="5" width="10.140625" customWidth="1"/>
    <col min="6" max="6" width="10.5703125" bestFit="1" customWidth="1"/>
    <col min="7" max="13" width="10.140625" customWidth="1"/>
    <col min="14" max="15" width="11.42578125" customWidth="1"/>
  </cols>
  <sheetData>
    <row r="2" spans="2:15">
      <c r="B2" t="s">
        <v>47</v>
      </c>
    </row>
    <row r="3" spans="2:15">
      <c r="B3" s="26" t="s">
        <v>48</v>
      </c>
      <c r="C3" s="28" t="s">
        <v>49</v>
      </c>
    </row>
    <row r="4" spans="2:15">
      <c r="B4" s="22" t="s">
        <v>50</v>
      </c>
      <c r="C4" s="29" t="s">
        <v>90</v>
      </c>
    </row>
    <row r="5" spans="2:15">
      <c r="B5" s="22" t="s">
        <v>51</v>
      </c>
      <c r="C5" s="29" t="s">
        <v>53</v>
      </c>
    </row>
    <row r="6" spans="2:15">
      <c r="B6" s="22" t="s">
        <v>52</v>
      </c>
      <c r="C6" s="31">
        <v>1000</v>
      </c>
    </row>
    <row r="7" spans="2:15">
      <c r="B7" s="24"/>
      <c r="C7" s="30"/>
    </row>
    <row r="10" spans="2:15">
      <c r="B10" s="26" t="s">
        <v>54</v>
      </c>
      <c r="C10" s="27" t="s">
        <v>55</v>
      </c>
      <c r="D10" s="27">
        <f t="shared" ref="D10:N10" si="0">E10-1</f>
        <v>8</v>
      </c>
      <c r="E10" s="27">
        <f t="shared" si="0"/>
        <v>9</v>
      </c>
      <c r="F10" s="27">
        <f t="shared" si="0"/>
        <v>10</v>
      </c>
      <c r="G10" s="27">
        <f t="shared" si="0"/>
        <v>11</v>
      </c>
      <c r="H10" s="27">
        <f t="shared" si="0"/>
        <v>12</v>
      </c>
      <c r="I10" s="27">
        <f t="shared" si="0"/>
        <v>13</v>
      </c>
      <c r="J10" s="27">
        <f t="shared" si="0"/>
        <v>14</v>
      </c>
      <c r="K10" s="27">
        <f t="shared" si="0"/>
        <v>15</v>
      </c>
      <c r="L10" s="27">
        <f t="shared" si="0"/>
        <v>16</v>
      </c>
      <c r="M10" s="27">
        <f t="shared" si="0"/>
        <v>17</v>
      </c>
      <c r="N10" s="27">
        <f t="shared" si="0"/>
        <v>18</v>
      </c>
      <c r="O10" s="28">
        <f>ВыборДат</f>
        <v>19</v>
      </c>
    </row>
    <row r="11" spans="2:15">
      <c r="B11" s="22" t="s">
        <v>91</v>
      </c>
      <c r="C11" s="23">
        <f>MATCH(B11,код,0)</f>
        <v>19</v>
      </c>
      <c r="D11" s="32">
        <f t="shared" ref="D11:O11" si="1">INDEX(база,$C11,D$10)</f>
        <v>-145560.5100000001</v>
      </c>
      <c r="E11" s="32">
        <f t="shared" si="1"/>
        <v>-198876.46000000031</v>
      </c>
      <c r="F11" s="32">
        <f t="shared" si="1"/>
        <v>-274537.22200000013</v>
      </c>
      <c r="G11" s="32">
        <f t="shared" si="1"/>
        <v>459337.30550000013</v>
      </c>
      <c r="H11" s="32">
        <f t="shared" si="1"/>
        <v>-187668.3260000002</v>
      </c>
      <c r="I11" s="32">
        <f t="shared" si="1"/>
        <v>50845.511999999646</v>
      </c>
      <c r="J11" s="32">
        <f t="shared" si="1"/>
        <v>201033.36387500033</v>
      </c>
      <c r="K11" s="32">
        <f t="shared" si="1"/>
        <v>87168.439999999769</v>
      </c>
      <c r="L11" s="32">
        <f t="shared" si="1"/>
        <v>582053.35329999973</v>
      </c>
      <c r="M11" s="32">
        <f t="shared" si="1"/>
        <v>-252981.89319999999</v>
      </c>
      <c r="N11" s="32">
        <f t="shared" si="1"/>
        <v>503198.5268000004</v>
      </c>
      <c r="O11" s="33">
        <f t="shared" si="1"/>
        <v>-192906.65600000031</v>
      </c>
    </row>
    <row r="12" spans="2:15">
      <c r="B12" s="22" t="s">
        <v>58</v>
      </c>
      <c r="C12" s="23"/>
      <c r="D12" s="32">
        <f ca="1">SUMIFS(OFFSET(база!$E$1,0,D$10,10000,1),INDIRECT("база!$E$1:$E$10000"),$B12)</f>
        <v>1998885.6</v>
      </c>
      <c r="E12" s="32">
        <f ca="1">SUMIFS(OFFSET(база!$E$1,0,E$10,10000,1),INDIRECT("база!$E$1:$E$10000"),$B12)</f>
        <v>2118006.7199999997</v>
      </c>
      <c r="F12" s="32">
        <f ca="1">SUMIFS(OFFSET(база!$E$1,0,F$10,10000,1),INDIRECT("база!$E$1:$E$10000"),$B12)</f>
        <v>1764525.5999999999</v>
      </c>
      <c r="G12" s="32">
        <f ca="1">SUMIFS(OFFSET(база!$E$1,0,G$10,10000,1),INDIRECT("база!$E$1:$E$10000"),$B12)</f>
        <v>2530448.6399999997</v>
      </c>
      <c r="H12" s="32">
        <f ca="1">SUMIFS(OFFSET(база!$E$1,0,H$10,10000,1),INDIRECT("база!$E$1:$E$10000"),$B12)</f>
        <v>1831668.48</v>
      </c>
      <c r="I12" s="32">
        <f ca="1">SUMIFS(OFFSET(база!$E$1,0,I$10,10000,1),INDIRECT("база!$E$1:$E$10000"),$B12)</f>
        <v>1842543.3599999996</v>
      </c>
      <c r="J12" s="32">
        <f ca="1">SUMIFS(OFFSET(база!$E$1,0,J$10,10000,1),INDIRECT("база!$E$1:$E$10000"),$B12)</f>
        <v>2356161.1199999996</v>
      </c>
      <c r="K12" s="32">
        <f ca="1">SUMIFS(OFFSET(база!$E$1,0,K$10,10000,1),INDIRECT("база!$E$1:$E$10000"),$B12)</f>
        <v>2210977.4399999995</v>
      </c>
      <c r="L12" s="32">
        <f ca="1">SUMIFS(OFFSET(база!$E$1,0,L$10,10000,1),INDIRECT("база!$E$1:$E$10000"),$B12)</f>
        <v>2158057.44</v>
      </c>
      <c r="M12" s="32">
        <f ca="1">SUMIFS(OFFSET(база!$E$1,0,M$10,10000,1),INDIRECT("база!$E$1:$E$10000"),$B12)</f>
        <v>2678801.7599999993</v>
      </c>
      <c r="N12" s="32">
        <f ca="1">SUMIFS(OFFSET(база!$E$1,0,N$10,10000,1),INDIRECT("база!$E$1:$E$10000"),$B12)</f>
        <v>1892947.6800000002</v>
      </c>
      <c r="O12" s="33">
        <f ca="1">SUMIFS(OFFSET(база!$E$1,0,O$10,10000,1),INDIRECT("база!$E$1:$E$10000"),$B12)</f>
        <v>2656582.5599999996</v>
      </c>
    </row>
    <row r="13" spans="2:15">
      <c r="B13" s="22" t="s">
        <v>66</v>
      </c>
      <c r="C13" s="23"/>
      <c r="D13" s="32">
        <f ca="1">SUMIFS(OFFSET(база!$E$1,0,D$10,10000,1),INDIRECT("база!$E$1:$E$10000"),$B13)</f>
        <v>817144.43327999988</v>
      </c>
      <c r="E13" s="32">
        <f ca="1">SUMIFS(OFFSET(база!$E$1,0,E$10,10000,1),INDIRECT("база!$E$1:$E$10000"),$B13)</f>
        <v>795946.925376</v>
      </c>
      <c r="F13" s="32">
        <f ca="1">SUMIFS(OFFSET(база!$E$1,0,F$10,10000,1),INDIRECT("база!$E$1:$E$10000"),$B13)</f>
        <v>727513.90488000005</v>
      </c>
      <c r="G13" s="32">
        <f ca="1">SUMIFS(OFFSET(база!$E$1,0,G$10,10000,1),INDIRECT("база!$E$1:$E$10000"),$B13)</f>
        <v>1054690.993152</v>
      </c>
      <c r="H13" s="32">
        <f ca="1">SUMIFS(OFFSET(база!$E$1,0,H$10,10000,1),INDIRECT("база!$E$1:$E$10000"),$B13)</f>
        <v>730286.22297599982</v>
      </c>
      <c r="I13" s="32">
        <f ca="1">SUMIFS(OFFSET(база!$E$1,0,I$10,10000,1),INDIRECT("база!$E$1:$E$10000"),$B13)</f>
        <v>772394.17651199992</v>
      </c>
      <c r="J13" s="32">
        <f ca="1">SUMIFS(OFFSET(база!$E$1,0,J$10,10000,1),INDIRECT("база!$E$1:$E$10000"),$B13)</f>
        <v>934924.73241599998</v>
      </c>
      <c r="K13" s="32">
        <f ca="1">SUMIFS(OFFSET(база!$E$1,0,K$10,10000,1),INDIRECT("база!$E$1:$E$10000"),$B13)</f>
        <v>857638.14897599991</v>
      </c>
      <c r="L13" s="32">
        <f ca="1">SUMIFS(OFFSET(база!$E$1,0,L$10,10000,1),INDIRECT("база!$E$1:$E$10000"),$B13)</f>
        <v>868186.50811200019</v>
      </c>
      <c r="M13" s="32">
        <f ca="1">SUMIFS(OFFSET(база!$E$1,0,M$10,10000,1),INDIRECT("база!$E$1:$E$10000"),$B13)</f>
        <v>1087593.5145599998</v>
      </c>
      <c r="N13" s="32">
        <f ca="1">SUMIFS(OFFSET(база!$E$1,0,N$10,10000,1),INDIRECT("база!$E$1:$E$10000"),$B13)</f>
        <v>767400.98947200004</v>
      </c>
      <c r="O13" s="33">
        <f ca="1">SUMIFS(OFFSET(база!$E$1,0,O$10,10000,1),INDIRECT("база!$E$1:$E$10000"),$B13)</f>
        <v>1037129.831424</v>
      </c>
    </row>
    <row r="14" spans="2:15">
      <c r="B14" s="22" t="s">
        <v>67</v>
      </c>
      <c r="C14" s="23"/>
      <c r="D14" s="32">
        <f ca="1">SUMIFS(OFFSET(база!$E$1,0,D$10,10000,1),INDIRECT("база!$E$1:$E$10000"),$B14)</f>
        <v>754860.00000000012</v>
      </c>
      <c r="E14" s="32">
        <f ca="1">SUMIFS(OFFSET(база!$E$1,0,E$10,10000,1),INDIRECT("база!$E$1:$E$10000"),$B14)</f>
        <v>588544.4</v>
      </c>
      <c r="F14" s="32">
        <f ca="1">SUMIFS(OFFSET(база!$E$1,0,F$10,10000,1),INDIRECT("база!$E$1:$E$10000"),$B14)</f>
        <v>492982.8</v>
      </c>
      <c r="G14" s="32">
        <f ca="1">SUMIFS(OFFSET(база!$E$1,0,G$10,10000,1),INDIRECT("база!$E$1:$E$10000"),$B14)</f>
        <v>476552.00000000006</v>
      </c>
      <c r="H14" s="32">
        <f ca="1">SUMIFS(OFFSET(база!$E$1,0,H$10,10000,1),INDIRECT("база!$E$1:$E$10000"),$B14)</f>
        <v>721606.40000000014</v>
      </c>
      <c r="I14" s="32">
        <f ca="1">SUMIFS(OFFSET(база!$E$1,0,I$10,10000,1),INDIRECT("база!$E$1:$E$10000"),$B14)</f>
        <v>632577.6</v>
      </c>
      <c r="J14" s="32">
        <f ca="1">SUMIFS(OFFSET(база!$E$1,0,J$10,10000,1),INDIRECT("база!$E$1:$E$10000"),$B14)</f>
        <v>627675.20000000007</v>
      </c>
      <c r="K14" s="32">
        <f ca="1">SUMIFS(OFFSET(база!$E$1,0,K$10,10000,1),INDIRECT("база!$E$1:$E$10000"),$B14)</f>
        <v>649872.4</v>
      </c>
      <c r="L14" s="32">
        <f ca="1">SUMIFS(OFFSET(база!$E$1,0,L$10,10000,1),INDIRECT("база!$E$1:$E$10000"),$B14)</f>
        <v>536581.19999999995</v>
      </c>
      <c r="M14" s="32">
        <f ca="1">SUMIFS(OFFSET(база!$E$1,0,M$10,10000,1),INDIRECT("база!$E$1:$E$10000"),$B14)</f>
        <v>643486.4</v>
      </c>
      <c r="N14" s="32">
        <f ca="1">SUMIFS(OFFSET(база!$E$1,0,N$10,10000,1),INDIRECT("база!$E$1:$E$10000"),$B14)</f>
        <v>535796</v>
      </c>
      <c r="O14" s="33">
        <f ca="1">SUMIFS(OFFSET(база!$E$1,0,O$10,10000,1),INDIRECT("база!$E$1:$E$10000"),$B14)</f>
        <v>787258.00000000012</v>
      </c>
    </row>
    <row r="15" spans="2:15">
      <c r="B15" s="22" t="s">
        <v>43</v>
      </c>
      <c r="C15" s="23"/>
      <c r="D15" s="32">
        <f ca="1">SUMIFS(OFFSET(база!$E$1,0,D$10,10000,1),INDIRECT("база!$E$1:$E$10000"),$B15)</f>
        <v>138811.5</v>
      </c>
      <c r="E15" s="32">
        <f ca="1">SUMIFS(OFFSET(база!$E$1,0,E$10,10000,1),INDIRECT("база!$E$1:$E$10000"),$B15)</f>
        <v>102958.66</v>
      </c>
      <c r="F15" s="32">
        <f ca="1">SUMIFS(OFFSET(база!$E$1,0,F$10,10000,1),INDIRECT("база!$E$1:$E$10000"),$B15)</f>
        <v>61268.25</v>
      </c>
      <c r="G15" s="32">
        <f ca="1">SUMIFS(OFFSET(база!$E$1,0,G$10,10000,1),INDIRECT("база!$E$1:$E$10000"),$B15)</f>
        <v>87862.8</v>
      </c>
      <c r="H15" s="32">
        <f ca="1">SUMIFS(OFFSET(база!$E$1,0,H$10,10000,1),INDIRECT("база!$E$1:$E$10000"),$B15)</f>
        <v>76319.520000000004</v>
      </c>
      <c r="I15" s="32">
        <f ca="1">SUMIFS(OFFSET(база!$E$1,0,I$10,10000,1),INDIRECT("база!$E$1:$E$10000"),$B15)</f>
        <v>127954.40000000001</v>
      </c>
      <c r="J15" s="32">
        <f ca="1">SUMIFS(OFFSET(база!$E$1,0,J$10,10000,1),INDIRECT("база!$E$1:$E$10000"),$B15)</f>
        <v>81811.150000000009</v>
      </c>
      <c r="K15" s="32">
        <f ca="1">SUMIFS(OFFSET(база!$E$1,0,K$10,10000,1),INDIRECT("база!$E$1:$E$10000"),$B15)</f>
        <v>153540.1</v>
      </c>
      <c r="L15" s="32">
        <f ca="1">SUMIFS(OFFSET(база!$E$1,0,L$10,10000,1),INDIRECT("база!$E$1:$E$10000"),$B15)</f>
        <v>89919.060000000012</v>
      </c>
      <c r="M15" s="32">
        <f ca="1">SUMIFS(OFFSET(база!$E$1,0,M$10,10000,1),INDIRECT("база!$E$1:$E$10000"),$B15)</f>
        <v>167425.11000000002</v>
      </c>
      <c r="N15" s="32">
        <f ca="1">SUMIFS(OFFSET(база!$E$1,0,N$10,10000,1),INDIRECT("база!$E$1:$E$10000"),$B15)</f>
        <v>105163.76000000001</v>
      </c>
      <c r="O15" s="33">
        <f ca="1">SUMIFS(OFFSET(база!$E$1,0,O$10,10000,1),INDIRECT("база!$E$1:$E$10000"),$B15)</f>
        <v>147587.92000000001</v>
      </c>
    </row>
    <row r="16" spans="2:15">
      <c r="B16" s="22" t="s">
        <v>44</v>
      </c>
      <c r="C16" s="23"/>
      <c r="D16" s="32">
        <f ca="1">SUMIFS(OFFSET(база!$E$1,0,D$10,10000,1),INDIRECT("база!$E$1:$E$10000"),$B16)</f>
        <v>67937.400000000009</v>
      </c>
      <c r="E16" s="32">
        <f ca="1">SUMIFS(OFFSET(база!$E$1,0,E$10,10000,1),INDIRECT("база!$E$1:$E$10000"),$B16)</f>
        <v>35312.664000000004</v>
      </c>
      <c r="F16" s="32">
        <f ca="1">SUMIFS(OFFSET(база!$E$1,0,F$10,10000,1),INDIRECT("база!$E$1:$E$10000"),$B16)</f>
        <v>44368.452000000005</v>
      </c>
      <c r="G16" s="32">
        <f ca="1">SUMIFS(OFFSET(база!$E$1,0,G$10,10000,1),INDIRECT("база!$E$1:$E$10000"),$B16)</f>
        <v>23827.599999999999</v>
      </c>
      <c r="H16" s="32">
        <f ca="1">SUMIFS(OFFSET(база!$E$1,0,H$10,10000,1),INDIRECT("база!$E$1:$E$10000"),$B16)</f>
        <v>64944.576000000015</v>
      </c>
      <c r="I16" s="32">
        <f ca="1">SUMIFS(OFFSET(база!$E$1,0,I$10,10000,1),INDIRECT("база!$E$1:$E$10000"),$B16)</f>
        <v>63257.75999999998</v>
      </c>
      <c r="J16" s="32">
        <f ca="1">SUMIFS(OFFSET(база!$E$1,0,J$10,10000,1),INDIRECT("база!$E$1:$E$10000"),$B16)</f>
        <v>62767.520000000011</v>
      </c>
      <c r="K16" s="32">
        <f ca="1">SUMIFS(OFFSET(база!$E$1,0,K$10,10000,1),INDIRECT("база!$E$1:$E$10000"),$B16)</f>
        <v>32493.62</v>
      </c>
      <c r="L16" s="32">
        <f ca="1">SUMIFS(OFFSET(база!$E$1,0,L$10,10000,1),INDIRECT("база!$E$1:$E$10000"),$B16)</f>
        <v>32194.872000000003</v>
      </c>
      <c r="M16" s="32">
        <f ca="1">SUMIFS(OFFSET(база!$E$1,0,M$10,10000,1),INDIRECT("база!$E$1:$E$10000"),$B16)</f>
        <v>32174.32</v>
      </c>
      <c r="N16" s="32">
        <f ca="1">SUMIFS(OFFSET(база!$E$1,0,N$10,10000,1),INDIRECT("база!$E$1:$E$10000"),$B16)</f>
        <v>53579.6</v>
      </c>
      <c r="O16" s="33">
        <f ca="1">SUMIFS(OFFSET(база!$E$1,0,O$10,10000,1),INDIRECT("база!$E$1:$E$10000"),$B16)</f>
        <v>70853.22</v>
      </c>
    </row>
    <row r="17" spans="2:15">
      <c r="B17" s="22" t="s">
        <v>45</v>
      </c>
      <c r="C17" s="23"/>
      <c r="D17" s="32">
        <f ca="1">SUMIFS(OFFSET(база!$E$1,0,D$10,10000,1),INDIRECT("база!$E$1:$E$10000"),$B17)</f>
        <v>0</v>
      </c>
      <c r="E17" s="32">
        <f ca="1">SUMIFS(OFFSET(база!$E$1,0,E$10,10000,1),INDIRECT("база!$E$1:$E$10000"),$B17)</f>
        <v>26406.936359999938</v>
      </c>
      <c r="F17" s="32">
        <f ca="1">SUMIFS(OFFSET(база!$E$1,0,F$10,10000,1),INDIRECT("база!$E$1:$E$10000"),$B17)</f>
        <v>6158.4157799999793</v>
      </c>
      <c r="G17" s="32">
        <f ca="1">SUMIFS(OFFSET(база!$E$1,0,G$10,10000,1),INDIRECT("база!$E$1:$E$10000"),$B17)</f>
        <v>157513.81279999996</v>
      </c>
      <c r="H17" s="32">
        <f ca="1">SUMIFS(OFFSET(база!$E$1,0,H$10,10000,1),INDIRECT("база!$E$1:$E$10000"),$B17)</f>
        <v>0</v>
      </c>
      <c r="I17" s="32">
        <f ca="1">SUMIFS(OFFSET(база!$E$1,0,I$10,10000,1),INDIRECT("база!$E$1:$E$10000"),$B17)</f>
        <v>0</v>
      </c>
      <c r="J17" s="32">
        <f ca="1">SUMIFS(OFFSET(база!$E$1,0,J$10,10000,1),INDIRECT("база!$E$1:$E$10000"),$B17)</f>
        <v>26751.232500000006</v>
      </c>
      <c r="K17" s="32">
        <f ca="1">SUMIFS(OFFSET(база!$E$1,0,K$10,10000,1),INDIRECT("база!$E$1:$E$10000"),$B17)</f>
        <v>11494.103999999894</v>
      </c>
      <c r="L17" s="32">
        <f ca="1">SUMIFS(OFFSET(база!$E$1,0,L$10,10000,1),INDIRECT("база!$E$1:$E$10000"),$B17)</f>
        <v>70926.959879999966</v>
      </c>
      <c r="M17" s="32">
        <f ca="1">SUMIFS(OFFSET(база!$E$1,0,M$10,10000,1),INDIRECT("база!$E$1:$E$10000"),$B17)</f>
        <v>89896.023999999961</v>
      </c>
      <c r="N17" s="32">
        <f ca="1">SUMIFS(OFFSET(база!$E$1,0,N$10,10000,1),INDIRECT("база!$E$1:$E$10000"),$B17)</f>
        <v>9694.4175999999588</v>
      </c>
      <c r="O17" s="33">
        <f ca="1">SUMIFS(OFFSET(база!$E$1,0,O$10,10000,1),INDIRECT("база!$E$1:$E$10000"),$B17)</f>
        <v>0</v>
      </c>
    </row>
    <row r="18" spans="2:15">
      <c r="B18" s="24"/>
      <c r="C18" s="2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</row>
    <row r="21" spans="2:15">
      <c r="D21">
        <f t="shared" ref="D21:O21" si="2">YEAR(INDEX(дата,1,D10))</f>
        <v>2014</v>
      </c>
      <c r="E21">
        <f t="shared" si="2"/>
        <v>2014</v>
      </c>
      <c r="F21">
        <f t="shared" si="2"/>
        <v>2014</v>
      </c>
      <c r="G21">
        <f t="shared" si="2"/>
        <v>2014</v>
      </c>
      <c r="H21">
        <f t="shared" si="2"/>
        <v>2014</v>
      </c>
      <c r="I21">
        <f t="shared" si="2"/>
        <v>2015</v>
      </c>
      <c r="J21">
        <f t="shared" si="2"/>
        <v>2015</v>
      </c>
      <c r="K21">
        <f t="shared" si="2"/>
        <v>2015</v>
      </c>
      <c r="L21">
        <f t="shared" si="2"/>
        <v>2015</v>
      </c>
      <c r="M21">
        <f t="shared" si="2"/>
        <v>2015</v>
      </c>
      <c r="N21">
        <f t="shared" si="2"/>
        <v>2015</v>
      </c>
      <c r="O21">
        <f t="shared" si="2"/>
        <v>2015</v>
      </c>
    </row>
    <row r="22" spans="2:15">
      <c r="D22" s="40">
        <f t="shared" ref="D22:O22" si="3">IF(C21&lt;&gt;D21,D21,"")</f>
        <v>2014</v>
      </c>
      <c r="E22" s="40" t="str">
        <f t="shared" si="3"/>
        <v/>
      </c>
      <c r="F22" s="40" t="str">
        <f t="shared" si="3"/>
        <v/>
      </c>
      <c r="G22" s="40" t="str">
        <f t="shared" si="3"/>
        <v/>
      </c>
      <c r="H22" s="40" t="str">
        <f t="shared" si="3"/>
        <v/>
      </c>
      <c r="I22" s="40">
        <f t="shared" si="3"/>
        <v>2015</v>
      </c>
      <c r="J22" s="40" t="str">
        <f t="shared" si="3"/>
        <v/>
      </c>
      <c r="K22" s="40" t="str">
        <f t="shared" si="3"/>
        <v/>
      </c>
      <c r="L22" s="40" t="str">
        <f t="shared" si="3"/>
        <v/>
      </c>
      <c r="M22" s="40" t="str">
        <f t="shared" si="3"/>
        <v/>
      </c>
      <c r="N22" s="40" t="str">
        <f t="shared" si="3"/>
        <v/>
      </c>
      <c r="O22" s="40" t="str">
        <f t="shared" si="3"/>
        <v/>
      </c>
    </row>
    <row r="23" spans="2:15">
      <c r="B23" s="26" t="s">
        <v>46</v>
      </c>
      <c r="C23" s="27"/>
      <c r="D23" s="27" t="str">
        <f t="shared" ref="D23:O23" si="4">INDEX(TEXT(дата,"МММ"),1,D10)</f>
        <v>авг</v>
      </c>
      <c r="E23" s="27" t="str">
        <f t="shared" si="4"/>
        <v>сен</v>
      </c>
      <c r="F23" s="27" t="str">
        <f t="shared" si="4"/>
        <v>окт</v>
      </c>
      <c r="G23" s="27" t="str">
        <f t="shared" si="4"/>
        <v>ноя</v>
      </c>
      <c r="H23" s="27" t="str">
        <f t="shared" si="4"/>
        <v>дек</v>
      </c>
      <c r="I23" s="27" t="str">
        <f t="shared" si="4"/>
        <v>янв</v>
      </c>
      <c r="J23" s="27" t="str">
        <f t="shared" si="4"/>
        <v>фев</v>
      </c>
      <c r="K23" s="27" t="str">
        <f t="shared" si="4"/>
        <v>мар</v>
      </c>
      <c r="L23" s="27" t="str">
        <f t="shared" si="4"/>
        <v>апр</v>
      </c>
      <c r="M23" s="27" t="str">
        <f t="shared" si="4"/>
        <v>май</v>
      </c>
      <c r="N23" s="27" t="str">
        <f t="shared" si="4"/>
        <v>июн</v>
      </c>
      <c r="O23" s="28" t="str">
        <f t="shared" si="4"/>
        <v>июл</v>
      </c>
    </row>
    <row r="24" spans="2:15">
      <c r="B24" s="38">
        <v>1</v>
      </c>
      <c r="C24" s="23" t="s">
        <v>8</v>
      </c>
      <c r="D24" s="32">
        <f t="shared" ref="D24:O24" si="5">D11/делитель*IF($B24,$B24,NA())</f>
        <v>-145.56051000000011</v>
      </c>
      <c r="E24" s="32">
        <f t="shared" si="5"/>
        <v>-198.87646000000032</v>
      </c>
      <c r="F24" s="32">
        <f t="shared" si="5"/>
        <v>-274.5372220000001</v>
      </c>
      <c r="G24" s="32">
        <f t="shared" si="5"/>
        <v>459.33730550000013</v>
      </c>
      <c r="H24" s="32">
        <f t="shared" si="5"/>
        <v>-187.66832600000021</v>
      </c>
      <c r="I24" s="32">
        <f t="shared" si="5"/>
        <v>50.845511999999644</v>
      </c>
      <c r="J24" s="32">
        <f t="shared" si="5"/>
        <v>201.03336387500033</v>
      </c>
      <c r="K24" s="32">
        <f t="shared" si="5"/>
        <v>87.168439999999777</v>
      </c>
      <c r="L24" s="32">
        <f t="shared" si="5"/>
        <v>582.05335329999969</v>
      </c>
      <c r="M24" s="32">
        <f t="shared" si="5"/>
        <v>-252.9818932</v>
      </c>
      <c r="N24" s="32">
        <f t="shared" si="5"/>
        <v>503.19852680000042</v>
      </c>
      <c r="O24" s="33">
        <f t="shared" si="5"/>
        <v>-192.90665600000031</v>
      </c>
    </row>
    <row r="25" spans="2:15">
      <c r="B25" s="38">
        <v>1</v>
      </c>
      <c r="C25" s="23" t="s">
        <v>7</v>
      </c>
      <c r="D25" s="32">
        <f t="shared" ref="D25:O25" ca="1" si="6">(D12-D13-D14+D15-D16-D17)/делитель*IF($B25,$B25,NA())</f>
        <v>497.75526671999995</v>
      </c>
      <c r="E25" s="32">
        <f t="shared" ca="1" si="6"/>
        <v>774.75445426399995</v>
      </c>
      <c r="F25" s="32">
        <f t="shared" ca="1" si="6"/>
        <v>554.77027733999978</v>
      </c>
      <c r="G25" s="32">
        <f t="shared" ca="1" si="6"/>
        <v>905.72703404799961</v>
      </c>
      <c r="H25" s="32">
        <f t="shared" ca="1" si="6"/>
        <v>391.15080102400003</v>
      </c>
      <c r="I25" s="32">
        <f t="shared" ca="1" si="6"/>
        <v>502.26822348799976</v>
      </c>
      <c r="J25" s="32">
        <f t="shared" ca="1" si="6"/>
        <v>785.85358508399952</v>
      </c>
      <c r="K25" s="32">
        <f t="shared" ca="1" si="6"/>
        <v>813.01926702399953</v>
      </c>
      <c r="L25" s="32">
        <f t="shared" ca="1" si="6"/>
        <v>740.08696000799978</v>
      </c>
      <c r="M25" s="32">
        <f t="shared" ca="1" si="6"/>
        <v>993.0766114399994</v>
      </c>
      <c r="N25" s="32">
        <f t="shared" ca="1" si="6"/>
        <v>631.64043292800034</v>
      </c>
      <c r="O25" s="33">
        <f t="shared" ca="1" si="6"/>
        <v>908.92942857599962</v>
      </c>
    </row>
    <row r="26" spans="2:15">
      <c r="B26" s="39">
        <v>0</v>
      </c>
      <c r="C26" s="25" t="s">
        <v>59</v>
      </c>
      <c r="D26" s="34" t="e">
        <f t="shared" ref="D26:O26" ca="1" si="7">D24-D25*IF($B26,$B26,NA())</f>
        <v>#N/A</v>
      </c>
      <c r="E26" s="34" t="e">
        <f t="shared" ca="1" si="7"/>
        <v>#N/A</v>
      </c>
      <c r="F26" s="34" t="e">
        <f t="shared" ca="1" si="7"/>
        <v>#N/A</v>
      </c>
      <c r="G26" s="34" t="e">
        <f t="shared" ca="1" si="7"/>
        <v>#N/A</v>
      </c>
      <c r="H26" s="34" t="e">
        <f t="shared" ca="1" si="7"/>
        <v>#N/A</v>
      </c>
      <c r="I26" s="34" t="e">
        <f t="shared" ca="1" si="7"/>
        <v>#N/A</v>
      </c>
      <c r="J26" s="34" t="e">
        <f t="shared" ca="1" si="7"/>
        <v>#N/A</v>
      </c>
      <c r="K26" s="34" t="e">
        <f t="shared" ca="1" si="7"/>
        <v>#N/A</v>
      </c>
      <c r="L26" s="34" t="e">
        <f t="shared" ca="1" si="7"/>
        <v>#N/A</v>
      </c>
      <c r="M26" s="34" t="e">
        <f t="shared" ca="1" si="7"/>
        <v>#N/A</v>
      </c>
      <c r="N26" s="34" t="e">
        <f t="shared" ca="1" si="7"/>
        <v>#N/A</v>
      </c>
      <c r="O26" s="35" t="e">
        <f t="shared" ca="1" si="7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O26"/>
  <sheetViews>
    <sheetView zoomScaleNormal="100" workbookViewId="0">
      <selection activeCell="A26" sqref="A26:XFD26"/>
    </sheetView>
  </sheetViews>
  <sheetFormatPr defaultRowHeight="15"/>
  <cols>
    <col min="1" max="1" width="3.28515625" customWidth="1"/>
    <col min="2" max="2" width="23.28515625" bestFit="1" customWidth="1"/>
    <col min="3" max="3" width="10.5703125" customWidth="1"/>
    <col min="4" max="5" width="10.140625" customWidth="1"/>
    <col min="6" max="6" width="10.5703125" bestFit="1" customWidth="1"/>
    <col min="7" max="13" width="10.140625" customWidth="1"/>
    <col min="14" max="15" width="11.42578125" customWidth="1"/>
  </cols>
  <sheetData>
    <row r="2" spans="2:15">
      <c r="B2" t="s">
        <v>47</v>
      </c>
    </row>
    <row r="3" spans="2:15">
      <c r="B3" s="26" t="s">
        <v>48</v>
      </c>
      <c r="C3" s="28" t="s">
        <v>49</v>
      </c>
    </row>
    <row r="4" spans="2:15">
      <c r="B4" s="22" t="s">
        <v>50</v>
      </c>
      <c r="C4" s="29" t="s">
        <v>92</v>
      </c>
    </row>
    <row r="5" spans="2:15">
      <c r="B5" s="22" t="s">
        <v>51</v>
      </c>
      <c r="C5" s="29" t="s">
        <v>93</v>
      </c>
    </row>
    <row r="6" spans="2:15">
      <c r="B6" s="22" t="s">
        <v>52</v>
      </c>
      <c r="C6" s="31">
        <v>1000</v>
      </c>
    </row>
    <row r="7" spans="2:15">
      <c r="B7" s="24"/>
      <c r="C7" s="30"/>
    </row>
    <row r="10" spans="2:15">
      <c r="B10" s="26" t="s">
        <v>54</v>
      </c>
      <c r="C10" s="27" t="s">
        <v>55</v>
      </c>
      <c r="D10" s="27">
        <f t="shared" ref="D10:N10" si="0">E10-1</f>
        <v>8</v>
      </c>
      <c r="E10" s="27">
        <f t="shared" si="0"/>
        <v>9</v>
      </c>
      <c r="F10" s="27">
        <f t="shared" si="0"/>
        <v>10</v>
      </c>
      <c r="G10" s="27">
        <f t="shared" si="0"/>
        <v>11</v>
      </c>
      <c r="H10" s="27">
        <f t="shared" si="0"/>
        <v>12</v>
      </c>
      <c r="I10" s="27">
        <f t="shared" si="0"/>
        <v>13</v>
      </c>
      <c r="J10" s="27">
        <f t="shared" si="0"/>
        <v>14</v>
      </c>
      <c r="K10" s="27">
        <f t="shared" si="0"/>
        <v>15</v>
      </c>
      <c r="L10" s="27">
        <f t="shared" si="0"/>
        <v>16</v>
      </c>
      <c r="M10" s="27">
        <f t="shared" si="0"/>
        <v>17</v>
      </c>
      <c r="N10" s="27">
        <f t="shared" si="0"/>
        <v>18</v>
      </c>
      <c r="O10" s="28">
        <f>ВыборДат</f>
        <v>19</v>
      </c>
    </row>
    <row r="11" spans="2:15">
      <c r="B11" s="22"/>
      <c r="C11" s="23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2:15">
      <c r="B12" s="22"/>
      <c r="C12" s="23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2:15">
      <c r="B13" s="22"/>
      <c r="C13" s="23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2:15">
      <c r="B14" s="22"/>
      <c r="C14" s="23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</row>
    <row r="15" spans="2:15">
      <c r="B15" s="22"/>
      <c r="C15" s="23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</row>
    <row r="16" spans="2:15">
      <c r="B16" s="22"/>
      <c r="C16" s="2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</row>
    <row r="17" spans="2:15">
      <c r="B17" s="22"/>
      <c r="C17" s="23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3"/>
    </row>
    <row r="18" spans="2:15">
      <c r="B18" s="24"/>
      <c r="C18" s="2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</row>
    <row r="21" spans="2:15">
      <c r="D21">
        <f t="shared" ref="D21:O21" si="1">YEAR(INDEX(дата,1,D10))</f>
        <v>2014</v>
      </c>
      <c r="E21">
        <f t="shared" si="1"/>
        <v>2014</v>
      </c>
      <c r="F21">
        <f t="shared" si="1"/>
        <v>2014</v>
      </c>
      <c r="G21">
        <f t="shared" si="1"/>
        <v>2014</v>
      </c>
      <c r="H21">
        <f t="shared" si="1"/>
        <v>2014</v>
      </c>
      <c r="I21">
        <f t="shared" si="1"/>
        <v>2015</v>
      </c>
      <c r="J21">
        <f t="shared" si="1"/>
        <v>2015</v>
      </c>
      <c r="K21">
        <f t="shared" si="1"/>
        <v>2015</v>
      </c>
      <c r="L21">
        <f t="shared" si="1"/>
        <v>2015</v>
      </c>
      <c r="M21">
        <f t="shared" si="1"/>
        <v>2015</v>
      </c>
      <c r="N21">
        <f t="shared" si="1"/>
        <v>2015</v>
      </c>
      <c r="O21">
        <f t="shared" si="1"/>
        <v>2015</v>
      </c>
    </row>
    <row r="22" spans="2:15">
      <c r="D22" s="40">
        <f t="shared" ref="D22:O22" si="2">IF(C21&lt;&gt;D21,D21,"")</f>
        <v>2014</v>
      </c>
      <c r="E22" s="40" t="str">
        <f t="shared" si="2"/>
        <v/>
      </c>
      <c r="F22" s="40" t="str">
        <f t="shared" si="2"/>
        <v/>
      </c>
      <c r="G22" s="40" t="str">
        <f t="shared" si="2"/>
        <v/>
      </c>
      <c r="H22" s="40" t="str">
        <f t="shared" si="2"/>
        <v/>
      </c>
      <c r="I22" s="40">
        <f t="shared" si="2"/>
        <v>2015</v>
      </c>
      <c r="J22" s="40" t="str">
        <f t="shared" si="2"/>
        <v/>
      </c>
      <c r="K22" s="40" t="str">
        <f t="shared" si="2"/>
        <v/>
      </c>
      <c r="L22" s="40" t="str">
        <f t="shared" si="2"/>
        <v/>
      </c>
      <c r="M22" s="40" t="str">
        <f t="shared" si="2"/>
        <v/>
      </c>
      <c r="N22" s="40" t="str">
        <f t="shared" si="2"/>
        <v/>
      </c>
      <c r="O22" s="40" t="str">
        <f t="shared" si="2"/>
        <v/>
      </c>
    </row>
    <row r="23" spans="2:15">
      <c r="B23" s="26" t="s">
        <v>46</v>
      </c>
      <c r="C23" s="27"/>
      <c r="D23" s="27" t="str">
        <f t="shared" ref="D23:O23" si="3">INDEX(TEXT(дата,"МММ"),1,D10)</f>
        <v>авг</v>
      </c>
      <c r="E23" s="27" t="str">
        <f t="shared" si="3"/>
        <v>сен</v>
      </c>
      <c r="F23" s="27" t="str">
        <f t="shared" si="3"/>
        <v>окт</v>
      </c>
      <c r="G23" s="27" t="str">
        <f t="shared" si="3"/>
        <v>ноя</v>
      </c>
      <c r="H23" s="27" t="str">
        <f t="shared" si="3"/>
        <v>дек</v>
      </c>
      <c r="I23" s="27" t="str">
        <f t="shared" si="3"/>
        <v>янв</v>
      </c>
      <c r="J23" s="27" t="str">
        <f t="shared" si="3"/>
        <v>фев</v>
      </c>
      <c r="K23" s="27" t="str">
        <f t="shared" si="3"/>
        <v>мар</v>
      </c>
      <c r="L23" s="27" t="str">
        <f t="shared" si="3"/>
        <v>апр</v>
      </c>
      <c r="M23" s="27" t="str">
        <f t="shared" si="3"/>
        <v>май</v>
      </c>
      <c r="N23" s="27" t="str">
        <f t="shared" si="3"/>
        <v>июн</v>
      </c>
      <c r="O23" s="28" t="str">
        <f t="shared" si="3"/>
        <v>июл</v>
      </c>
    </row>
    <row r="24" spans="2:15">
      <c r="B24" s="38">
        <v>1</v>
      </c>
      <c r="C24" s="23" t="s">
        <v>8</v>
      </c>
      <c r="D24" s="61">
        <f>ЧистПриб!D24/Доходы!D19</f>
        <v>-9.4399186691208892E-2</v>
      </c>
      <c r="E24" s="61">
        <f>ЧистПриб!E24/Доходы!E19</f>
        <v>-0.1212801789826785</v>
      </c>
      <c r="F24" s="61">
        <f>ЧистПриб!F24/Доходы!F19</f>
        <v>-0.15799187429911771</v>
      </c>
      <c r="G24" s="61">
        <f>ЧистПриб!G24/Доходы!G19</f>
        <v>0.22161579089173541</v>
      </c>
      <c r="H24" s="61">
        <f>ЧистПриб!H24/Доходы!H19</f>
        <v>-0.11818063027947895</v>
      </c>
      <c r="I24" s="61">
        <f>ЧистПриб!I24/Доходы!I19</f>
        <v>2.2625490578172071E-2</v>
      </c>
      <c r="J24" s="61">
        <f>ЧистПриб!J24/Доходы!J19</f>
        <v>0.1117896270792252</v>
      </c>
      <c r="K24" s="61">
        <f>ЧистПриб!K24/Доходы!K19</f>
        <v>5.273659231180243E-2</v>
      </c>
      <c r="L24" s="61">
        <f>ЧистПриб!L24/Доходы!L19</f>
        <v>0.23352019815108743</v>
      </c>
      <c r="M24" s="61">
        <f>ЧистПриб!M24/Доходы!M19</f>
        <v>-0.15781334866615346</v>
      </c>
      <c r="N24" s="61">
        <f>ЧистПриб!N24/Доходы!N19</f>
        <v>0.2323657378339373</v>
      </c>
      <c r="O24" s="62">
        <f>ЧистПриб!O24/Доходы!O19</f>
        <v>-7.5634501780850849E-2</v>
      </c>
    </row>
    <row r="25" spans="2:15">
      <c r="B25" s="38">
        <v>1</v>
      </c>
      <c r="C25" s="23" t="s">
        <v>7</v>
      </c>
      <c r="D25" s="61">
        <f ca="1">ЧистПриб!D25/Доходы!D20</f>
        <v>0.24901638528988349</v>
      </c>
      <c r="E25" s="61">
        <f ca="1">ЧистПриб!E25/Доходы!E20</f>
        <v>0.36579414359176349</v>
      </c>
      <c r="F25" s="61">
        <f ca="1">ЧистПриб!F25/Доходы!F20</f>
        <v>0.31440194312850989</v>
      </c>
      <c r="G25" s="61">
        <f ca="1">ЧистПриб!G25/Доходы!G20</f>
        <v>0.35793140383517119</v>
      </c>
      <c r="H25" s="61">
        <f ca="1">ЧистПриб!H25/Доходы!H20</f>
        <v>0.21354890652701522</v>
      </c>
      <c r="I25" s="61">
        <f ca="1">ЧистПриб!I25/Доходы!I20</f>
        <v>0.27259506310234122</v>
      </c>
      <c r="J25" s="61">
        <f ca="1">ЧистПриб!J25/Доходы!J20</f>
        <v>0.33353134402115914</v>
      </c>
      <c r="K25" s="61">
        <f ca="1">ЧистПриб!K25/Доходы!K20</f>
        <v>0.36771938614805572</v>
      </c>
      <c r="L25" s="61">
        <f ca="1">ЧистПриб!L25/Доходы!L20</f>
        <v>0.34294127037137612</v>
      </c>
      <c r="M25" s="61">
        <f ca="1">ЧистПриб!M25/Доходы!M20</f>
        <v>0.37071672352492391</v>
      </c>
      <c r="N25" s="61">
        <f ca="1">ЧистПриб!N25/Доходы!N20</f>
        <v>0.33368087221935278</v>
      </c>
      <c r="O25" s="62">
        <f ca="1">ЧистПриб!O25/Доходы!O20</f>
        <v>0.34214236073882826</v>
      </c>
    </row>
    <row r="26" spans="2:15">
      <c r="B26" s="39">
        <v>0</v>
      </c>
      <c r="C26" s="25" t="s">
        <v>59</v>
      </c>
      <c r="D26" s="63" t="e">
        <f t="shared" ref="D26:O26" ca="1" si="4">D24-D25*IF($B26,$B26,NA())</f>
        <v>#N/A</v>
      </c>
      <c r="E26" s="63" t="e">
        <f t="shared" ca="1" si="4"/>
        <v>#N/A</v>
      </c>
      <c r="F26" s="63" t="e">
        <f t="shared" ca="1" si="4"/>
        <v>#N/A</v>
      </c>
      <c r="G26" s="63" t="e">
        <f t="shared" ca="1" si="4"/>
        <v>#N/A</v>
      </c>
      <c r="H26" s="63" t="e">
        <f t="shared" ca="1" si="4"/>
        <v>#N/A</v>
      </c>
      <c r="I26" s="63" t="e">
        <f t="shared" ca="1" si="4"/>
        <v>#N/A</v>
      </c>
      <c r="J26" s="63" t="e">
        <f t="shared" ca="1" si="4"/>
        <v>#N/A</v>
      </c>
      <c r="K26" s="63" t="e">
        <f t="shared" ca="1" si="4"/>
        <v>#N/A</v>
      </c>
      <c r="L26" s="63" t="e">
        <f t="shared" ca="1" si="4"/>
        <v>#N/A</v>
      </c>
      <c r="M26" s="63" t="e">
        <f t="shared" ca="1" si="4"/>
        <v>#N/A</v>
      </c>
      <c r="N26" s="63" t="e">
        <f t="shared" ca="1" si="4"/>
        <v>#N/A</v>
      </c>
      <c r="O26" s="64" t="e">
        <f t="shared" ca="1" si="4"/>
        <v>#N/A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60BDE30-165F-4A81-BCC7-677B8D55C48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16</vt:i4>
      </vt:variant>
    </vt:vector>
  </HeadingPairs>
  <TitlesOfParts>
    <vt:vector size="22" baseType="lpstr">
      <vt:lpstr>Отчет</vt:lpstr>
      <vt:lpstr>база</vt:lpstr>
      <vt:lpstr>Таблица</vt:lpstr>
      <vt:lpstr>Доходы</vt:lpstr>
      <vt:lpstr>ЧистПриб</vt:lpstr>
      <vt:lpstr>Рент</vt:lpstr>
      <vt:lpstr>база</vt:lpstr>
      <vt:lpstr>ВыборДат</vt:lpstr>
      <vt:lpstr>дата</vt:lpstr>
      <vt:lpstr>Доходы!делитель</vt:lpstr>
      <vt:lpstr>Рент!делитель</vt:lpstr>
      <vt:lpstr>Таблица!делитель</vt:lpstr>
      <vt:lpstr>ЧистПриб!делитель</vt:lpstr>
      <vt:lpstr>код</vt:lpstr>
      <vt:lpstr>Доходы!название</vt:lpstr>
      <vt:lpstr>Рент!название</vt:lpstr>
      <vt:lpstr>Таблица!название</vt:lpstr>
      <vt:lpstr>ЧистПриб!название</vt:lpstr>
      <vt:lpstr>Доходы!размерность</vt:lpstr>
      <vt:lpstr>Рент!размерность</vt:lpstr>
      <vt:lpstr>Таблица!размерность</vt:lpstr>
      <vt:lpstr>ЧистПриб!размерность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Салостей</dc:creator>
  <cp:lastModifiedBy>klenova</cp:lastModifiedBy>
  <dcterms:created xsi:type="dcterms:W3CDTF">2016-02-03T14:03:53Z</dcterms:created>
  <dcterms:modified xsi:type="dcterms:W3CDTF">2016-09-20T11:05:43Z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